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matriarch835-my.sharepoint.com/personal/sajjeed_matriarch_ventures/Documents/Sajjeed-Personal/Matriarch/Sustainadility/07 Thought Leadership Projects/Webinars/CBUAE Webinar deliverables/"/>
    </mc:Choice>
  </mc:AlternateContent>
  <xr:revisionPtr revIDLastSave="1" documentId="8_{F9538E89-9778-4550-928C-E1283E288EB1}" xr6:coauthVersionLast="47" xr6:coauthVersionMax="47" xr10:uidLastSave="{29BC1459-EC83-4692-B2E3-8754DDCBD498}"/>
  <bookViews>
    <workbookView xWindow="-110" yWindow="-110" windowWidth="19420" windowHeight="10300" xr2:uid="{00000000-000D-0000-FFFF-FFFF00000000}"/>
  </bookViews>
  <sheets>
    <sheet name="README" sheetId="1" r:id="rId1"/>
    <sheet name="Company_Profile" sheetId="2" r:id="rId2"/>
    <sheet name="Baseline_Financials" sheetId="3" r:id="rId3"/>
    <sheet name="Scenario_Library" sheetId="4" r:id="rId4"/>
    <sheet name="Scenario_Assumptions" sheetId="5" r:id="rId5"/>
    <sheet name="Exposure_Physical" sheetId="6" r:id="rId6"/>
    <sheet name="Exposure_Transition" sheetId="7" r:id="rId7"/>
    <sheet name="Impact_Model" sheetId="8" r:id="rId8"/>
    <sheet name="Dashboard" sheetId="9" r:id="rId9"/>
    <sheet name="Bank_Report" sheetId="10" r:id="rId10"/>
    <sheet name="Sources"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8" l="1"/>
  <c r="E7" i="8"/>
  <c r="E6" i="8"/>
  <c r="C6" i="8"/>
  <c r="F13" i="7"/>
  <c r="G6" i="6"/>
  <c r="E12" i="5"/>
  <c r="D12" i="5"/>
  <c r="F12" i="5" s="1"/>
  <c r="D10" i="3"/>
  <c r="D12" i="3" s="1"/>
  <c r="C9" i="10"/>
  <c r="C8" i="10"/>
  <c r="C7" i="10"/>
  <c r="C6" i="10"/>
  <c r="C5" i="10"/>
  <c r="C7" i="9"/>
  <c r="C6" i="9"/>
  <c r="C5" i="9"/>
  <c r="C23" i="8"/>
  <c r="C22" i="8"/>
  <c r="C21" i="8"/>
  <c r="E12" i="8"/>
  <c r="D23" i="8" s="1"/>
  <c r="E23" i="8" s="1"/>
  <c r="F23" i="8" s="1"/>
  <c r="C9" i="8"/>
  <c r="C8" i="8"/>
  <c r="C7" i="8"/>
  <c r="H6" i="8"/>
  <c r="F17" i="7"/>
  <c r="F16" i="7"/>
  <c r="F15" i="7"/>
  <c r="F14" i="7"/>
  <c r="D9" i="7"/>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E20" i="5"/>
  <c r="D20" i="5"/>
  <c r="F20" i="5" s="1"/>
  <c r="E19" i="5"/>
  <c r="D19" i="5"/>
  <c r="F19" i="5" s="1"/>
  <c r="E18" i="5"/>
  <c r="D18" i="5"/>
  <c r="F18" i="5" s="1"/>
  <c r="E17" i="5"/>
  <c r="D17" i="5"/>
  <c r="F17" i="5" s="1"/>
  <c r="E16" i="5"/>
  <c r="D16" i="5"/>
  <c r="F16" i="5" s="1"/>
  <c r="E15" i="5"/>
  <c r="D15" i="5"/>
  <c r="F15" i="5" s="1"/>
  <c r="E14" i="5"/>
  <c r="D14" i="5"/>
  <c r="F14" i="5" s="1"/>
  <c r="E13" i="5"/>
  <c r="D13" i="5"/>
  <c r="F13" i="5" s="1"/>
  <c r="I25" i="3"/>
  <c r="H25" i="3"/>
  <c r="G25" i="3"/>
  <c r="F25" i="3"/>
  <c r="E25" i="3"/>
  <c r="D25" i="3"/>
  <c r="C25" i="3"/>
  <c r="I10" i="3"/>
  <c r="I12" i="3" s="1"/>
  <c r="H10" i="3"/>
  <c r="H12" i="3" s="1"/>
  <c r="G10" i="3"/>
  <c r="G12" i="3" s="1"/>
  <c r="F10" i="3"/>
  <c r="F12" i="3" s="1"/>
  <c r="E10" i="3"/>
  <c r="E12" i="3" s="1"/>
  <c r="C10" i="3"/>
  <c r="C12" i="3" s="1"/>
  <c r="E9" i="8" l="1"/>
  <c r="D24" i="8" s="1"/>
  <c r="C24" i="8"/>
  <c r="E8" i="8"/>
  <c r="D19" i="8" s="1"/>
  <c r="C19" i="8"/>
  <c r="D17" i="8"/>
  <c r="C17" i="8"/>
  <c r="C14" i="10"/>
  <c r="C13" i="10"/>
  <c r="C18" i="9"/>
  <c r="C17" i="9"/>
  <c r="C16" i="9"/>
  <c r="C12" i="9"/>
  <c r="C10" i="9"/>
  <c r="C8" i="9"/>
  <c r="C25" i="8"/>
  <c r="C20" i="8"/>
  <c r="C18" i="8"/>
  <c r="C16" i="8"/>
  <c r="C15" i="10"/>
  <c r="I14" i="3"/>
  <c r="I16" i="3" s="1"/>
  <c r="I21" i="3"/>
  <c r="I22" i="3" s="1"/>
  <c r="I29" i="3"/>
  <c r="I30" i="3"/>
  <c r="I31" i="3"/>
  <c r="I32" i="3"/>
  <c r="H14" i="3"/>
  <c r="H16" i="3" s="1"/>
  <c r="H21" i="3"/>
  <c r="H22" i="3" s="1"/>
  <c r="H29" i="3"/>
  <c r="H30" i="3"/>
  <c r="H31" i="3"/>
  <c r="H32" i="3"/>
  <c r="G14" i="3"/>
  <c r="G16" i="3" s="1"/>
  <c r="G21" i="3"/>
  <c r="G22" i="3" s="1"/>
  <c r="G29" i="3"/>
  <c r="G30" i="3"/>
  <c r="G31" i="3"/>
  <c r="G32" i="3"/>
  <c r="F14" i="3"/>
  <c r="F16" i="3" s="1"/>
  <c r="F21" i="3"/>
  <c r="F22" i="3" s="1"/>
  <c r="F29" i="3"/>
  <c r="F30" i="3"/>
  <c r="F31" i="3"/>
  <c r="F32" i="3"/>
  <c r="E14" i="3"/>
  <c r="E16" i="3" s="1"/>
  <c r="E21" i="3"/>
  <c r="E22" i="3" s="1"/>
  <c r="E29" i="3"/>
  <c r="E30" i="3"/>
  <c r="E31" i="3"/>
  <c r="E32" i="3"/>
  <c r="D14" i="3"/>
  <c r="D16" i="3" s="1"/>
  <c r="D21" i="3"/>
  <c r="D22" i="3" s="1"/>
  <c r="D29" i="3"/>
  <c r="D30" i="3"/>
  <c r="D31" i="3"/>
  <c r="D32" i="3"/>
  <c r="C14" i="3"/>
  <c r="C16" i="3" s="1"/>
  <c r="C21" i="3"/>
  <c r="C22" i="3" s="1"/>
  <c r="C29" i="3"/>
  <c r="C30" i="3"/>
  <c r="C31" i="3"/>
  <c r="C32" i="3"/>
  <c r="D21" i="8"/>
  <c r="E21" i="8" s="1"/>
  <c r="F21" i="8" s="1"/>
  <c r="D16" i="8" l="1"/>
  <c r="E16" i="8" s="1"/>
  <c r="F16" i="8" s="1"/>
  <c r="D18" i="8"/>
  <c r="E18" i="8" s="1"/>
  <c r="F18" i="8" s="1"/>
  <c r="D20" i="8"/>
  <c r="E20" i="8" s="1"/>
  <c r="F20" i="8" s="1"/>
  <c r="E11" i="8"/>
  <c r="C9" i="9"/>
  <c r="C11" i="9"/>
  <c r="D16" i="9"/>
  <c r="D17" i="9"/>
  <c r="D13" i="10"/>
  <c r="E13" i="10" s="1"/>
  <c r="D14" i="10"/>
  <c r="E14" i="10" s="1"/>
  <c r="E24" i="8"/>
  <c r="F24" i="8" s="1"/>
  <c r="E19" i="8"/>
  <c r="F19" i="8" s="1"/>
  <c r="E17" i="8"/>
  <c r="F17" i="8" s="1"/>
  <c r="D22" i="8" l="1"/>
  <c r="E22" i="8" s="1"/>
  <c r="F22" i="8" s="1"/>
  <c r="D25" i="8"/>
  <c r="E25" i="8" s="1"/>
  <c r="F25" i="8" s="1"/>
  <c r="C13" i="9"/>
  <c r="D18" i="9"/>
  <c r="D15" i="10"/>
  <c r="E15" i="10" s="1"/>
</calcChain>
</file>

<file path=xl/sharedStrings.xml><?xml version="1.0" encoding="utf-8"?>
<sst xmlns="http://schemas.openxmlformats.org/spreadsheetml/2006/main" count="404" uniqueCount="324">
  <si>
    <t>Climate Stress Test Framework (SME Template) – UAE</t>
  </si>
  <si>
    <t>How to use this workbook</t>
  </si>
  <si>
    <t>Workbook structure</t>
  </si>
  <si>
    <t>1) Fill all BLUE input cells (yellow background). Start with 'Company_Profile' and 'Baseline_Financials'.</t>
  </si>
  <si>
    <t>Sheet</t>
  </si>
  <si>
    <t>Purpose</t>
  </si>
  <si>
    <t>2) Choose a scenario and horizon in 'Scenario_Assumptions'. Default library includes: Orderly Transition, Disorderly Transition, Hot House World.</t>
  </si>
  <si>
    <t>Company_Profile</t>
  </si>
  <si>
    <t>SME overview, sites, key dependencies</t>
  </si>
  <si>
    <t>3) Complete 'Exposure_Physical' and 'Exposure_Transition' to capture sites, hazards, energy/emissions and market/policy exposures.</t>
  </si>
  <si>
    <t>Baseline_Financials</t>
  </si>
  <si>
    <t>3-year history + baseline forecast; debt and ratios</t>
  </si>
  <si>
    <t>4) Review calculated outputs in 'Impact_Model' and 'Dashboard'.</t>
  </si>
  <si>
    <t>Scenario_Library</t>
  </si>
  <si>
    <t>Reference scenarios (edit as needed)</t>
  </si>
  <si>
    <t>5) Use 'Bank_Report' as a one-page pack to share with your bank (print to PDF).</t>
  </si>
  <si>
    <t>Scenario_Assumptions</t>
  </si>
  <si>
    <t>Select scenario/horizon and apply shocks</t>
  </si>
  <si>
    <t>Note: Replace example scenario numbers with bank-provided assumptions (NGFS/IEA or lender internal) and cite the URL in 'Sources'.</t>
  </si>
  <si>
    <t>Exposure_Physical</t>
  </si>
  <si>
    <t>Site exposure + hazards + downtime/repair estimates</t>
  </si>
  <si>
    <t>Exposure_Transition</t>
  </si>
  <si>
    <t>Energy/emissions and transition channels</t>
  </si>
  <si>
    <t>Impact_Model</t>
  </si>
  <si>
    <t>Financial stress engine (baseline vs stressed)</t>
  </si>
  <si>
    <t>Dashboard</t>
  </si>
  <si>
    <t>KPI + chart view</t>
  </si>
  <si>
    <t>Bank_Report</t>
  </si>
  <si>
    <t>One-page lender pack</t>
  </si>
  <si>
    <t>Sources</t>
  </si>
  <si>
    <t>Paste links for scenario/factor sources</t>
  </si>
  <si>
    <t>Company Profile (Inputs)</t>
  </si>
  <si>
    <t>Populate SME context that drives exposure and financial impacts.</t>
  </si>
  <si>
    <t>A. Company identifiers &amp; operating model</t>
  </si>
  <si>
    <t>Company legal name</t>
  </si>
  <si>
    <t>Al Noor Cold Chain Logistics LLC</t>
  </si>
  <si>
    <t>Trade name</t>
  </si>
  <si>
    <t>Al Noor ColdChain</t>
  </si>
  <si>
    <t>Emirate / main jurisdiction</t>
  </si>
  <si>
    <t>Dubai, UAE</t>
  </si>
  <si>
    <t>Sector</t>
  </si>
  <si>
    <t>Logistics &amp; Warehousing (Cold chain)</t>
  </si>
  <si>
    <t>Primary products/services</t>
  </si>
  <si>
    <t>Temperature-controlled warehousing; refrigerated transport; pharma/food distribution</t>
  </si>
  <si>
    <t>Customer mix (B2B/B2C/% exports)</t>
  </si>
  <si>
    <t>B2B 95% (food &amp; beverage 60%, pharma 25%, retail 10%); Exports 5% (GCC)</t>
  </si>
  <si>
    <t>Key suppliers (top 5)</t>
  </si>
  <si>
    <t>DEWA (electricity); diesel suppliers; refrigeration maintenance contractor; packaging supplier; insurance broker</t>
  </si>
  <si>
    <t>Critical inputs (energy, water, materials)</t>
  </si>
  <si>
    <t>Electricity (refrigeration); diesel (fleet); refrigerants; water (cleaning); IT/telemetry</t>
  </si>
  <si>
    <t>Business continuity plan in place? (Y/N)</t>
  </si>
  <si>
    <t>Y</t>
  </si>
  <si>
    <t>B. Sites &amp; key assets (site-level exposure mapping)</t>
  </si>
  <si>
    <t>Site ID</t>
  </si>
  <si>
    <t>Site name</t>
  </si>
  <si>
    <t>Emirate</t>
  </si>
  <si>
    <t>Latitude</t>
  </si>
  <si>
    <t>Longitude</t>
  </si>
  <si>
    <t>Asset type</t>
  </si>
  <si>
    <t>Criticality (1-5)</t>
  </si>
  <si>
    <t>Revenue dependency (%)</t>
  </si>
  <si>
    <t>Key hazard notes</t>
  </si>
  <si>
    <t>Insurance coverage (Y/N)</t>
  </si>
  <si>
    <t>Notes</t>
  </si>
  <si>
    <t>S1</t>
  </si>
  <si>
    <t>JAFZA Cold Store &amp; HQ</t>
  </si>
  <si>
    <t>Dubai</t>
  </si>
  <si>
    <t>Warehouse (35,000 m2) + office</t>
  </si>
  <si>
    <t>Pluvial flood exposure; heat stress; power outage sensitivity</t>
  </si>
  <si>
    <t>S2</t>
  </si>
  <si>
    <t>Mussafah Cross-Dock</t>
  </si>
  <si>
    <t>Abu Dhabi</t>
  </si>
  <si>
    <t>Cross-dock + small cold room</t>
  </si>
  <si>
    <t>Heat stress; road disruption during heavy rain events</t>
  </si>
  <si>
    <t>Baseline Financials (AED)</t>
  </si>
  <si>
    <t>Enter last 3 years actuals + baseline forecast. Blue = input. Black = formulas.</t>
  </si>
  <si>
    <t>A. Period labels (edit if needed)</t>
  </si>
  <si>
    <t>Fiscal year labels</t>
  </si>
  <si>
    <t>FY-3</t>
  </si>
  <si>
    <t>FY-2</t>
  </si>
  <si>
    <t>FY-1</t>
  </si>
  <si>
    <t>FY0 Baseline</t>
  </si>
  <si>
    <t>FY+1</t>
  </si>
  <si>
    <t>FY+2</t>
  </si>
  <si>
    <t>FY+3</t>
  </si>
  <si>
    <t>B. Profit &amp; Loss</t>
  </si>
  <si>
    <t>Revenue</t>
  </si>
  <si>
    <t>Cost of goods sold (COGS)</t>
  </si>
  <si>
    <t>Gross Profit</t>
  </si>
  <si>
    <t>Operating expenses (Opex)</t>
  </si>
  <si>
    <t>EBITDA</t>
  </si>
  <si>
    <t>Depreciation &amp; amortisation</t>
  </si>
  <si>
    <t>EBIT</t>
  </si>
  <si>
    <t>Interest expense</t>
  </si>
  <si>
    <t>Profit before tax</t>
  </si>
  <si>
    <t>C. Cash flow &amp; debt (simplified)</t>
  </si>
  <si>
    <t>Capital expenditure (Capex)</t>
  </si>
  <si>
    <t>Change in net working capital</t>
  </si>
  <si>
    <t>Operating cash flow (approx.)</t>
  </si>
  <si>
    <t>Free cash flow (approx.)</t>
  </si>
  <si>
    <t>Total debt (end of period)</t>
  </si>
  <si>
    <t>Cash balance (end of period)</t>
  </si>
  <si>
    <t>Net debt</t>
  </si>
  <si>
    <t>D. Credit metrics (calculated)</t>
  </si>
  <si>
    <t>Metric</t>
  </si>
  <si>
    <t>EBITDA margin</t>
  </si>
  <si>
    <t>Interest coverage (EBITDA/Interest)</t>
  </si>
  <si>
    <t>DSCR (EBITDA-Capex)/Interest</t>
  </si>
  <si>
    <t>Net debt / EBITDA</t>
  </si>
  <si>
    <t>Scenario Library (Editable)</t>
  </si>
  <si>
    <t>Example assumptions. Replace with bank-provided scenarios and cite sources.</t>
  </si>
  <si>
    <t>A. Scenario archetypes</t>
  </si>
  <si>
    <t>Scenario</t>
  </si>
  <si>
    <t>Description</t>
  </si>
  <si>
    <t>Orderly Transition</t>
  </si>
  <si>
    <t>Early and predictable transition; moderate near-term costs; lower long-term physical losses.</t>
  </si>
  <si>
    <t>Disorderly Transition</t>
  </si>
  <si>
    <t>Delayed action then abrupt tightening; higher short-term costs/volatility.</t>
  </si>
  <si>
    <t>Hot House World</t>
  </si>
  <si>
    <t>Limited transition; higher physical hazards and disruption over time.</t>
  </si>
  <si>
    <t>B. Quantitative assumption blocks (examples – adjust)</t>
  </si>
  <si>
    <t>Unit</t>
  </si>
  <si>
    <t>Short (1–3y)</t>
  </si>
  <si>
    <t>Medium (4–10y)</t>
  </si>
  <si>
    <t>Long (10+y)</t>
  </si>
  <si>
    <t>Orderly scaler</t>
  </si>
  <si>
    <t>Disorderly scaler</t>
  </si>
  <si>
    <t>Hot House scaler</t>
  </si>
  <si>
    <t>Notes / Source URL</t>
  </si>
  <si>
    <t>Carbon price</t>
  </si>
  <si>
    <t>AED/tCO2e</t>
  </si>
  <si>
    <t>Electricity price change</t>
  </si>
  <si>
    <t>% vs baseline</t>
  </si>
  <si>
    <t>Fuel price change</t>
  </si>
  <si>
    <t>Insurance premium change</t>
  </si>
  <si>
    <t>Demand / volume change</t>
  </si>
  <si>
    <t>Heat stress days (&gt;=45°C)</t>
  </si>
  <si>
    <t>days/year</t>
  </si>
  <si>
    <t>Flood disruption days</t>
  </si>
  <si>
    <t>Water price change</t>
  </si>
  <si>
    <t>Capex required for adaptation/transition</t>
  </si>
  <si>
    <t>% of Revenue</t>
  </si>
  <si>
    <t>Scenario Assumptions (Selection + Inputs)</t>
  </si>
  <si>
    <t>Select scenario/horizon; effective shocks drive the Impact_Model.</t>
  </si>
  <si>
    <t>A. Scenario configuration (inputs)</t>
  </si>
  <si>
    <t>Scenario selected</t>
  </si>
  <si>
    <t>Horizon selected</t>
  </si>
  <si>
    <t>Snapshot year (financials)</t>
  </si>
  <si>
    <t>B. Quantitative shocks (auto-filled from Scenario_Library; editable)</t>
  </si>
  <si>
    <t>Horizon value</t>
  </si>
  <si>
    <t>Scenario scaler</t>
  </si>
  <si>
    <t>Effective shock</t>
  </si>
  <si>
    <t>Scenario parameters aligned to NGFS-style transition pathways; carbon price used as proxy for policy stringency.</t>
  </si>
  <si>
    <t>Electricity cost sensitivity tested per bank questionnaire; adjust to your tariff/contract.</t>
  </si>
  <si>
    <t>Fuel cost sensitivity applied to variable logistics cost base; consider hedging contracts if any.</t>
  </si>
  <si>
    <t>Insurance premium uplift assumed from renewal discussions; replace with broker quote when available.</t>
  </si>
  <si>
    <t>Demand shock reflects client decarbonisation procurement and potential volume loss in carbon-intensive lanes.</t>
  </si>
  <si>
    <t>Heat-stress days from scenario narrative; operational impact captured via downtime inputs in Exposure_Physical.</t>
  </si>
  <si>
    <t>Flood disruption days informed by recent heavy rainfall events; operational impact captured via downtime inputs.</t>
  </si>
  <si>
    <t>Water tariff sensitivity; for most SMEs, indirect effect via cleaning/process water.</t>
  </si>
  <si>
    <t>Additional capex requirement for adaptation/transition (e.g., drainage, PV, efficiency upgrades).</t>
  </si>
  <si>
    <t>Physical Risk Exposure (Site-level)</t>
  </si>
  <si>
    <t>Score exposures and estimate downtime/repair costs; roll-up to Impact_Model.</t>
  </si>
  <si>
    <t>A. Hazard scoring (fill for each site)</t>
  </si>
  <si>
    <t>Hazard</t>
  </si>
  <si>
    <t>Exposure (1-5)</t>
  </si>
  <si>
    <t>Vulnerability (1-5)</t>
  </si>
  <si>
    <t>Adaptive capacity (1-5)</t>
  </si>
  <si>
    <t>Overall score (0-10)</t>
  </si>
  <si>
    <t>Downtime (days/yr)</t>
  </si>
  <si>
    <t>Repair/response cost (AED/yr)</t>
  </si>
  <si>
    <t>Confidence (Low/Med/High)</t>
  </si>
  <si>
    <t>Source URL</t>
  </si>
  <si>
    <t>Extreme heat / refrigeration load</t>
  </si>
  <si>
    <t>Med</t>
  </si>
  <si>
    <t>Internal maintenance logs; facility KPI</t>
  </si>
  <si>
    <t>Heat waves increase refrigeration load; risk of compressor failures</t>
  </si>
  <si>
    <t>Pluvial flooding (stormwater)</t>
  </si>
  <si>
    <t>Facility drainage assessment; insurer site survey</t>
  </si>
  <si>
    <t>Warehouse access roads flood; affects inbound/outbound</t>
  </si>
  <si>
    <t>Extreme heat / worker productivity</t>
  </si>
  <si>
    <t>Low</t>
  </si>
  <si>
    <t>Manager estimate</t>
  </si>
  <si>
    <t>Heat reduces productivity; limited shaded loading bays</t>
  </si>
  <si>
    <t>Road disruption from heavy rain</t>
  </si>
  <si>
    <t>Operational experience</t>
  </si>
  <si>
    <t>Short-term delivery delays; diversions increase fuel use</t>
  </si>
  <si>
    <t>Transition Risk Exposure</t>
  </si>
  <si>
    <t>Energy/emissions baseline + qualitative transition channels.</t>
  </si>
  <si>
    <t>Annual electricity consumption</t>
  </si>
  <si>
    <t>kWh</t>
  </si>
  <si>
    <t>Annual fuel consumption (diesel/gas)</t>
  </si>
  <si>
    <t>litres or m3</t>
  </si>
  <si>
    <t>Scope 1 emissions (if known)</t>
  </si>
  <si>
    <t>tCO2e</t>
  </si>
  <si>
    <t>Scope 2 emissions (if known)</t>
  </si>
  <si>
    <t>Total emissions used in model</t>
  </si>
  <si>
    <t>B. Transition channels (qualitative scoring)</t>
  </si>
  <si>
    <t>Channel</t>
  </si>
  <si>
    <t>What to consider</t>
  </si>
  <si>
    <t>Readiness (1-5)</t>
  </si>
  <si>
    <t>Residual score</t>
  </si>
  <si>
    <t>Notes / evidence</t>
  </si>
  <si>
    <t>Policy &amp; carbon pricing</t>
  </si>
  <si>
    <t>Carbon cost, reporting requirements, efficiency mandates</t>
  </si>
  <si>
    <t>Potential carbon reporting/price pass-through; limited internal carbon accounting today.</t>
  </si>
  <si>
    <t>Market &amp; demand shifts</t>
  </si>
  <si>
    <t>Customer preferences, green procurement, export requirements</t>
  </si>
  <si>
    <t>Key B2B clients asking for temperature-controlled emissions data; partial readiness via telematics.</t>
  </si>
  <si>
    <t>Technology disruption</t>
  </si>
  <si>
    <t>Electrification, efficiency tech, low-carbon substitutes</t>
  </si>
  <si>
    <t>Refrigeration efficiency upgrades identified; pilots underway on smart controls.</t>
  </si>
  <si>
    <t>Supply chain constraints</t>
  </si>
  <si>
    <t>Supplier decarbonisation, logistics disruption, input scarcity</t>
  </si>
  <si>
    <t>Dependence on refrigeration parts/consumables; limited secondary suppliers in region.</t>
  </si>
  <si>
    <t>Financing &amp; insurance</t>
  </si>
  <si>
    <t>Loan covenants, pricing, coverage limits, disclosures</t>
  </si>
  <si>
    <t>Bank requests scenario analysis + emissions; insurance renewals tightening after extreme weather.</t>
  </si>
  <si>
    <t>Impact Model (Baseline vs Scenario)</t>
  </si>
  <si>
    <t>Financial stress test using Baseline_Financials + Scenario_Assumptions + Exposure inputs.</t>
  </si>
  <si>
    <t>A. Snapshot year inputs and stressed values</t>
  </si>
  <si>
    <t>Line item</t>
  </si>
  <si>
    <t>Baseline</t>
  </si>
  <si>
    <t>Driver (from Scenario_Assumptions)</t>
  </si>
  <si>
    <t>Stressed</t>
  </si>
  <si>
    <t>Helper: baseline col</t>
  </si>
  <si>
    <t>COGS</t>
  </si>
  <si>
    <t>Opex</t>
  </si>
  <si>
    <t>Carbon cost (proxy)</t>
  </si>
  <si>
    <t>Carbon price × total emissions</t>
  </si>
  <si>
    <t>Physical downtime cost (proxy)</t>
  </si>
  <si>
    <t>Stressed revenue/365 × downtime days (sum)</t>
  </si>
  <si>
    <t>Physical repair/response cost (proxy)</t>
  </si>
  <si>
    <t>Sum of site repair/response costs</t>
  </si>
  <si>
    <t>B. Snapshot P&amp;L roll-up (baseline vs stressed)</t>
  </si>
  <si>
    <t>Δ (AED)</t>
  </si>
  <si>
    <t>Δ (%)</t>
  </si>
  <si>
    <t>Carbon cost</t>
  </si>
  <si>
    <t>Physical downtime cost</t>
  </si>
  <si>
    <t>Physical repair cost</t>
  </si>
  <si>
    <t>Profit before tax (proxy)</t>
  </si>
  <si>
    <t>Quick view of scenario selection and key outputs.</t>
  </si>
  <si>
    <t>A. KPI snapshot</t>
  </si>
  <si>
    <t>Snapshot year</t>
  </si>
  <si>
    <t>Revenue (Baseline)</t>
  </si>
  <si>
    <t>Revenue (Stressed)</t>
  </si>
  <si>
    <t>EBITDA (Baseline, proxy)</t>
  </si>
  <si>
    <t>EBITDA (Stressed, proxy)</t>
  </si>
  <si>
    <t>Profit before tax (Baseline, proxy)</t>
  </si>
  <si>
    <t>Profit before tax (Stressed, proxy)</t>
  </si>
  <si>
    <t>Baseline vs Stressed</t>
  </si>
  <si>
    <t>Line</t>
  </si>
  <si>
    <t>EBITDA (proxy)</t>
  </si>
  <si>
    <t>PBT (proxy)</t>
  </si>
  <si>
    <t>Bank Reporting Pack (One-page)</t>
  </si>
  <si>
    <t>Copy/paste into your bank’s template or print this sheet to PDF.</t>
  </si>
  <si>
    <t>A. Summary (auto-filled)</t>
  </si>
  <si>
    <t>Company</t>
  </si>
  <si>
    <t>Horizon</t>
  </si>
  <si>
    <t>B. Financial impacts (snapshot year)</t>
  </si>
  <si>
    <t>C. Key assumptions &amp; evidence (complete for your bank)</t>
  </si>
  <si>
    <t>Assumption / evidence</t>
  </si>
  <si>
    <t>Details / URL (input)</t>
  </si>
  <si>
    <t>Evidence item 1</t>
  </si>
  <si>
    <t>Baseline financials FY-3 to FY+3 from management accounts; snapshot year FY+2 stress run.</t>
  </si>
  <si>
    <t>Evidence item 2</t>
  </si>
  <si>
    <t>Energy use: 4.5 GWh electricity; 250k L diesel; emissions proxy = 2,695 tCO2e (Scope 1+2).</t>
  </si>
  <si>
    <t>Evidence item 3</t>
  </si>
  <si>
    <t>Scenario: Disorderly Transition, medium horizon (4–10y): electricity +14.4%, fuel +12%, insurance +15%, demand -1%, carbon price 195 AED/tCO2e.</t>
  </si>
  <si>
    <t>Evidence item 4</t>
  </si>
  <si>
    <t>Physical risk inputs: total downtime 8 days/yr; repair/response cost 320k AED/yr (two sites).</t>
  </si>
  <si>
    <t>Evidence item 5</t>
  </si>
  <si>
    <t>Insurance renewal sensitivity based on broker discussions; replace with firm quote when available.</t>
  </si>
  <si>
    <t>Evidence item 6</t>
  </si>
  <si>
    <t>Key clients include large retailers/pharma distributors with increasing low-carbon procurement requirements.</t>
  </si>
  <si>
    <t>Evidence item 7</t>
  </si>
  <si>
    <t>No internal carbon price today; management evaluating inclusion in budgeting for fleet and refrigeration capex.</t>
  </si>
  <si>
    <t>Evidence item 8</t>
  </si>
  <si>
    <t>Planned mitigations: rooftop solar, drainage upgrades, backup power, refrigeration efficiency program.</t>
  </si>
  <si>
    <t>D. Management actions (input)</t>
  </si>
  <si>
    <t>Action</t>
  </si>
  <si>
    <t>Owner</t>
  </si>
  <si>
    <t>Timeline</t>
  </si>
  <si>
    <t>Expected risk reduction</t>
  </si>
  <si>
    <t>Install 500 kWp rooftop solar on S1 + efficiency upgrades (VFDs, smart controls)</t>
  </si>
  <si>
    <t>Ops Director</t>
  </si>
  <si>
    <t>12–18 months</t>
  </si>
  <si>
    <t>Reduces electricity cost exposure; improves resilience during grid stress</t>
  </si>
  <si>
    <t>Upgrade drainage/pumps and raise critical equipment at S1</t>
  </si>
  <si>
    <t>Facilities Manager</t>
  </si>
  <si>
    <t>6–9 months</t>
  </si>
  <si>
    <t>Reduces flood downtime and repair costs</t>
  </si>
  <si>
    <t>Backup power + preventive maintenance for refrigeration compressors</t>
  </si>
  <si>
    <t>Engineering Lead</t>
  </si>
  <si>
    <t>3–6 months</t>
  </si>
  <si>
    <t>Reduces heat-related failures; supports continuity for pharma</t>
  </si>
  <si>
    <t>Fleet route optimisation + pilot EV/refrigerated units where feasible</t>
  </si>
  <si>
    <t>Logistics Manager</t>
  </si>
  <si>
    <t>12–24 months</t>
  </si>
  <si>
    <t>Reduces diesel exposure and Scope 1 emissions</t>
  </si>
  <si>
    <t>Formalise climate risk pack for lenders (data, governance, annual refresh)</t>
  </si>
  <si>
    <t>CFO</t>
  </si>
  <si>
    <t>0–3 months</t>
  </si>
  <si>
    <t>Improves financing access; may reduce pricing/conditions</t>
  </si>
  <si>
    <t>Sources (Paste URLs)</t>
  </si>
  <si>
    <t>Add links for scenario sources, hazard maps, emission factors, and bank guidance.</t>
  </si>
  <si>
    <t>Item</t>
  </si>
  <si>
    <t>URL / reference</t>
  </si>
  <si>
    <t>NGFS scenarios portal</t>
  </si>
  <si>
    <t>https://www.ngfs.net/ngfs-scenarios-portal/</t>
  </si>
  <si>
    <t>IFRS Sustainability Standards (S1/S2)</t>
  </si>
  <si>
    <t>https://www.ifrs.org/issued-standards/ifrs-sustainability-standards/</t>
  </si>
  <si>
    <t>TCFD recommendations / guidance</t>
  </si>
  <si>
    <t>https://www.fsb-tcfd.org/</t>
  </si>
  <si>
    <t>GHG Protocol corporate standard</t>
  </si>
  <si>
    <t>https://ghgprotocol.org/corporate-standard</t>
  </si>
  <si>
    <t>Add your bank / regulator guidance link here</t>
  </si>
  <si>
    <t>(Example) Lender climate risk questionnaire / scenario parameters provided by relationship manager</t>
  </si>
  <si>
    <t>Add hazard map source (heat/flood/water) here</t>
  </si>
  <si>
    <t>(Example) UAE national met/municipality flood &amp; heat hazard layers / insurer risk maps</t>
  </si>
  <si>
    <t>Add electricity emission factor source here</t>
  </si>
  <si>
    <t>(Example) Grid electricity emissions factor used by your bank or national inventory</t>
  </si>
  <si>
    <t>• Replace example scenario numbers in Scenario_Library with bank-provided assumptions. Keep a URL in Scenario_Assumptions notes.</t>
  </si>
  <si>
    <t>A. Energy &amp; emissions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</si>
</sst>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Red]\(#,##0\);&quot;-&quot;"/>
    <numFmt numFmtId="165" formatCode="0.0%"/>
    <numFmt numFmtId="166" formatCode="0.0\x"/>
    <numFmt numFmtId="167" formatCode="0.0"/>
    <numFmt numFmtId="168" formatCode="_(* #,##0_);_(* \(#,##0\);_(* &quot;-&quot;??_);_(@_)"/>
  </numFmts>
  <fonts count="18" x14ac:knownFonts="1">
    <font>
      <sz val="11"/>
      <color theme="1"/>
      <name val="Calibri"/>
      <family val="2"/>
      <scheme val="minor"/>
    </font>
    <font>
      <b/>
      <sz val="16"/>
      <color rgb="FFFFFFFF"/>
      <name val="Calibri"/>
      <family val="2"/>
    </font>
    <font>
      <sz val="11"/>
      <color rgb="FF1F4E79"/>
      <name val="Calibri"/>
      <family val="2"/>
    </font>
    <font>
      <b/>
      <sz val="11"/>
      <color rgb="FF1F4E79"/>
      <name val="Calibri"/>
      <family val="2"/>
    </font>
    <font>
      <i/>
      <sz val="9"/>
      <color rgb="FF595959"/>
      <name val="Calibri"/>
      <family val="2"/>
    </font>
    <font>
      <b/>
      <sz val="11"/>
      <color rgb="FF000000"/>
      <name val="Calibri"/>
      <family val="2"/>
    </font>
    <font>
      <b/>
      <sz val="13"/>
      <color rgb="FFFFFFFF"/>
      <name val="Calibri"/>
      <family val="2"/>
    </font>
    <font>
      <sz val="11"/>
      <color rgb="FF0000FF"/>
      <name val="Calibri"/>
      <family val="2"/>
    </font>
    <font>
      <sz val="11"/>
      <color rgb="FF000000"/>
      <name val="Calibri"/>
      <family val="2"/>
    </font>
    <font>
      <sz val="11"/>
      <color theme="1"/>
      <name val="Aptos"/>
      <family val="2"/>
    </font>
    <font>
      <sz val="11"/>
      <color rgb="FF1F4E79"/>
      <name val="Aptos"/>
      <family val="2"/>
    </font>
    <font>
      <sz val="11"/>
      <color rgb="FF0000FF"/>
      <name val="Aptos"/>
      <family val="2"/>
    </font>
    <font>
      <b/>
      <sz val="11"/>
      <color rgb="FF000000"/>
      <name val="Aptos"/>
      <family val="2"/>
    </font>
    <font>
      <sz val="11"/>
      <color rgb="FF000000"/>
      <name val="Aptos"/>
      <family val="2"/>
    </font>
    <font>
      <b/>
      <sz val="11"/>
      <color rgb="FFFFFFFF"/>
      <name val="Aptos"/>
      <family val="2"/>
    </font>
    <font>
      <sz val="11"/>
      <color theme="1"/>
      <name val="Calibri"/>
      <family val="2"/>
      <scheme val="minor"/>
    </font>
    <font>
      <b/>
      <sz val="13"/>
      <color rgb="FFFFFFFF"/>
      <name val="Aptos"/>
      <family val="2"/>
    </font>
    <font>
      <i/>
      <sz val="11"/>
      <color rgb="FF595959"/>
      <name val="Aptos"/>
      <family val="2"/>
    </font>
  </fonts>
  <fills count="9">
    <fill>
      <patternFill patternType="none"/>
    </fill>
    <fill>
      <patternFill patternType="gray125"/>
    </fill>
    <fill>
      <patternFill patternType="solid">
        <fgColor rgb="FF1F4E79"/>
      </patternFill>
    </fill>
    <fill>
      <patternFill patternType="solid">
        <fgColor rgb="FFD9E1F2"/>
      </patternFill>
    </fill>
    <fill>
      <patternFill patternType="solid">
        <fgColor rgb="FFF2F2F2"/>
      </patternFill>
    </fill>
    <fill>
      <patternFill patternType="solid">
        <fgColor rgb="FF0B2F4A"/>
      </patternFill>
    </fill>
    <fill>
      <patternFill patternType="solid">
        <fgColor rgb="FFFFF2CC"/>
      </patternFill>
    </fill>
    <fill>
      <patternFill patternType="solid">
        <fgColor rgb="FFFFFFFF"/>
      </patternFill>
    </fill>
    <fill>
      <patternFill patternType="solid">
        <fgColor rgb="FFE2EFDA"/>
      </patternFill>
    </fill>
  </fills>
  <borders count="3">
    <border>
      <left/>
      <right/>
      <top/>
      <bottom/>
      <diagonal/>
    </border>
    <border>
      <left style="thin">
        <color rgb="FFD9D9D9"/>
      </left>
      <right style="thin">
        <color rgb="FFD9D9D9"/>
      </right>
      <top style="thin">
        <color rgb="FFD9D9D9"/>
      </top>
      <bottom style="thin">
        <color rgb="FFD9D9D9"/>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5" fillId="0" borderId="0" applyFont="0" applyFill="0" applyBorder="0" applyAlignment="0" applyProtection="0"/>
  </cellStyleXfs>
  <cellXfs count="52">
    <xf numFmtId="0" fontId="0" fillId="0" borderId="0" xfId="0"/>
    <xf numFmtId="0" fontId="3" fillId="0" borderId="0" xfId="0" applyFont="1"/>
    <xf numFmtId="0" fontId="5" fillId="4" borderId="1" xfId="0" applyFont="1" applyFill="1" applyBorder="1" applyAlignment="1">
      <alignment horizontal="left" vertical="center" wrapText="1"/>
    </xf>
    <xf numFmtId="0" fontId="0" fillId="0" borderId="1" xfId="0" applyBorder="1" applyAlignment="1">
      <alignment horizontal="left" vertical="center" wrapText="1"/>
    </xf>
    <xf numFmtId="0" fontId="4" fillId="0" borderId="0" xfId="0" applyFont="1" applyAlignment="1">
      <alignment horizontal="left" vertical="center" wrapText="1"/>
    </xf>
    <xf numFmtId="0" fontId="7" fillId="6"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5" fillId="0" borderId="0" xfId="0" applyFont="1"/>
    <xf numFmtId="164" fontId="7" fillId="6" borderId="1" xfId="0" applyNumberFormat="1" applyFont="1" applyFill="1" applyBorder="1"/>
    <xf numFmtId="164" fontId="8" fillId="7" borderId="1" xfId="0" applyNumberFormat="1" applyFont="1" applyFill="1" applyBorder="1"/>
    <xf numFmtId="0" fontId="5" fillId="4" borderId="1" xfId="0" applyFont="1" applyFill="1" applyBorder="1"/>
    <xf numFmtId="165" fontId="8" fillId="8" borderId="1" xfId="0" applyNumberFormat="1" applyFont="1" applyFill="1" applyBorder="1"/>
    <xf numFmtId="166" fontId="8" fillId="8" borderId="1" xfId="0" applyNumberFormat="1" applyFont="1" applyFill="1" applyBorder="1"/>
    <xf numFmtId="164" fontId="0" fillId="0" borderId="1" xfId="0" applyNumberFormat="1" applyBorder="1" applyAlignment="1">
      <alignment horizontal="right" vertical="center" wrapText="1"/>
    </xf>
    <xf numFmtId="165" fontId="0" fillId="0" borderId="1" xfId="0" applyNumberFormat="1" applyBorder="1" applyAlignment="1">
      <alignment horizontal="right" vertical="center" wrapText="1"/>
    </xf>
    <xf numFmtId="0" fontId="8" fillId="8" borderId="1" xfId="0" applyFont="1" applyFill="1" applyBorder="1" applyAlignment="1">
      <alignment horizontal="left" vertical="center" wrapText="1"/>
    </xf>
    <xf numFmtId="164" fontId="8" fillId="8" borderId="1" xfId="0" applyNumberFormat="1" applyFont="1" applyFill="1" applyBorder="1" applyAlignment="1">
      <alignment horizontal="left" vertical="center" wrapText="1"/>
    </xf>
    <xf numFmtId="0" fontId="0" fillId="0" borderId="1" xfId="0" applyBorder="1"/>
    <xf numFmtId="0" fontId="0" fillId="0" borderId="2" xfId="0" applyBorder="1" applyAlignment="1">
      <alignment horizontal="left" vertical="center" wrapText="1"/>
    </xf>
    <xf numFmtId="0" fontId="9" fillId="0" borderId="0" xfId="0" applyFont="1"/>
    <xf numFmtId="0" fontId="9" fillId="0" borderId="1" xfId="0" applyFont="1" applyBorder="1" applyAlignment="1">
      <alignment horizontal="left" vertical="center" wrapText="1"/>
    </xf>
    <xf numFmtId="0" fontId="11" fillId="6" borderId="1" xfId="0" applyFont="1" applyFill="1" applyBorder="1" applyAlignment="1">
      <alignment horizontal="left" vertical="center" wrapText="1"/>
    </xf>
    <xf numFmtId="0" fontId="12" fillId="4"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167" fontId="13" fillId="7" borderId="1" xfId="0" applyNumberFormat="1" applyFont="1" applyFill="1" applyBorder="1" applyAlignment="1">
      <alignment horizontal="center" vertical="center" wrapText="1"/>
    </xf>
    <xf numFmtId="167" fontId="13" fillId="8" borderId="1" xfId="0" applyNumberFormat="1" applyFont="1" applyFill="1" applyBorder="1" applyAlignment="1">
      <alignment horizontal="center" vertical="center" wrapText="1"/>
    </xf>
    <xf numFmtId="0" fontId="11" fillId="6" borderId="1" xfId="0" applyFont="1" applyFill="1" applyBorder="1" applyAlignment="1">
      <alignment horizontal="center" vertical="center" wrapText="1"/>
    </xf>
    <xf numFmtId="168" fontId="11" fillId="6" borderId="1" xfId="1" applyNumberFormat="1" applyFont="1" applyFill="1" applyBorder="1" applyAlignment="1">
      <alignment horizontal="center" vertical="center" wrapText="1"/>
    </xf>
    <xf numFmtId="168" fontId="11" fillId="6" borderId="1" xfId="1" applyNumberFormat="1" applyFont="1" applyFill="1" applyBorder="1" applyAlignment="1">
      <alignment horizontal="left" vertical="center" wrapText="1"/>
    </xf>
    <xf numFmtId="168" fontId="13" fillId="7" borderId="1" xfId="1" applyNumberFormat="1" applyFont="1" applyFill="1" applyBorder="1" applyAlignment="1">
      <alignment horizontal="left" vertical="center" wrapText="1"/>
    </xf>
    <xf numFmtId="0" fontId="13" fillId="7" borderId="1" xfId="0" applyFont="1" applyFill="1" applyBorder="1" applyAlignment="1">
      <alignment horizontal="left" vertical="center" wrapText="1"/>
    </xf>
    <xf numFmtId="1" fontId="9" fillId="4" borderId="1" xfId="0" applyNumberFormat="1" applyFont="1" applyFill="1" applyBorder="1"/>
    <xf numFmtId="164" fontId="9" fillId="0" borderId="1" xfId="0" applyNumberFormat="1" applyFont="1" applyBorder="1" applyAlignment="1">
      <alignment horizontal="right" vertical="center" wrapText="1"/>
    </xf>
    <xf numFmtId="165" fontId="9" fillId="0" borderId="1" xfId="0" applyNumberFormat="1" applyFont="1" applyBorder="1" applyAlignment="1">
      <alignment horizontal="right" vertical="center" wrapText="1"/>
    </xf>
    <xf numFmtId="0" fontId="17" fillId="0" borderId="0" xfId="0" applyFont="1"/>
    <xf numFmtId="0" fontId="12" fillId="4" borderId="1" xfId="0" applyFont="1" applyFill="1" applyBorder="1" applyAlignment="1">
      <alignment horizontal="left" vertical="top" wrapText="1"/>
    </xf>
    <xf numFmtId="0" fontId="12" fillId="4" borderId="1" xfId="0" applyFont="1" applyFill="1" applyBorder="1" applyAlignment="1">
      <alignment horizontal="center" vertical="top" wrapText="1"/>
    </xf>
    <xf numFmtId="0" fontId="9" fillId="0" borderId="1" xfId="0" applyFont="1" applyBorder="1" applyAlignment="1">
      <alignment horizontal="left" vertical="top" wrapText="1"/>
    </xf>
    <xf numFmtId="164" fontId="13" fillId="8" borderId="1" xfId="0" applyNumberFormat="1" applyFont="1" applyFill="1" applyBorder="1" applyAlignment="1">
      <alignment vertical="top"/>
    </xf>
    <xf numFmtId="0" fontId="9" fillId="0" borderId="1" xfId="0" applyFont="1" applyBorder="1" applyAlignment="1">
      <alignment horizontal="right" vertical="top" wrapText="1"/>
    </xf>
    <xf numFmtId="164" fontId="13" fillId="8" borderId="1" xfId="0" applyNumberFormat="1" applyFont="1" applyFill="1" applyBorder="1" applyAlignment="1">
      <alignment horizontal="right" vertical="top" wrapText="1"/>
    </xf>
    <xf numFmtId="0" fontId="10" fillId="3" borderId="0" xfId="0" applyFont="1" applyFill="1" applyAlignment="1">
      <alignment horizontal="left" vertical="center"/>
    </xf>
    <xf numFmtId="0" fontId="9" fillId="0" borderId="0" xfId="0" applyFont="1"/>
    <xf numFmtId="0" fontId="14" fillId="2" borderId="0" xfId="0" applyFont="1" applyFill="1" applyAlignment="1">
      <alignment horizontal="left" vertical="center"/>
    </xf>
    <xf numFmtId="0" fontId="14" fillId="5" borderId="0" xfId="0" applyFont="1" applyFill="1" applyAlignment="1">
      <alignment horizontal="left" vertical="center"/>
    </xf>
    <xf numFmtId="0" fontId="1" fillId="2" borderId="0" xfId="0" applyFont="1" applyFill="1" applyAlignment="1">
      <alignment horizontal="left" vertical="center"/>
    </xf>
    <xf numFmtId="0" fontId="0" fillId="0" borderId="0" xfId="0"/>
    <xf numFmtId="0" fontId="2" fillId="3" borderId="0" xfId="0" applyFont="1" applyFill="1" applyAlignment="1">
      <alignment horizontal="left" vertical="center"/>
    </xf>
    <xf numFmtId="0" fontId="6" fillId="5" borderId="0" xfId="0" applyFont="1" applyFill="1" applyAlignment="1">
      <alignment horizontal="left" vertical="center"/>
    </xf>
    <xf numFmtId="0" fontId="16" fillId="5" borderId="0" xfId="0" applyFont="1" applyFill="1" applyAlignment="1">
      <alignment horizontal="left" vertical="center"/>
    </xf>
  </cellXfs>
  <cellStyles count="2">
    <cellStyle name="Comma" xfId="1" builtinId="3"/>
    <cellStyle name="Normal" xfId="0" builtinId="0"/>
  </cellStyles>
  <dxfs count="1">
    <dxf>
      <fill>
        <patternFill patternType="solid">
          <fgColor rgb="FFF8CBAD"/>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292100</xdr:colOff>
      <xdr:row>2</xdr:row>
      <xdr:rowOff>25400</xdr:rowOff>
    </xdr:from>
    <xdr:to>
      <xdr:col>2</xdr:col>
      <xdr:colOff>4622800</xdr:colOff>
      <xdr:row>9</xdr:row>
      <xdr:rowOff>0</xdr:rowOff>
    </xdr:to>
    <xdr:sp macro="" textlink="">
      <xdr:nvSpPr>
        <xdr:cNvPr id="2" name="TextBox 1">
          <a:extLst>
            <a:ext uri="{FF2B5EF4-FFF2-40B4-BE49-F238E27FC236}">
              <a16:creationId xmlns:a16="http://schemas.microsoft.com/office/drawing/2014/main" id="{E9B1326C-DE84-593C-0AE2-9515B63495EA}"/>
            </a:ext>
          </a:extLst>
        </xdr:cNvPr>
        <xdr:cNvSpPr txBox="1"/>
      </xdr:nvSpPr>
      <xdr:spPr>
        <a:xfrm>
          <a:off x="3365500" y="565150"/>
          <a:ext cx="4330700" cy="3194050"/>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This template is a practical “climate stress test” template designed for UAE SMEs to run the scenario analysis that banks and financial institutions increasingly request as part of climate-risk due diligence. It starts by capturing the company profile, site locations, and baseline financials, then applies a chosen climate scenario (orderly/disorderly transition or high-warming physical risk) and time horizon to translate scenario assumptions into specific shocks such as demand shifts, electricity and fuel cost increases, insurance/risk-premium uplifts, carbon-cost exposure, and physical disruption impacts. The model links these shocks with site-level physical risk inputs (downtime and repair/response costs) and transition risk inputs (energy use, emissions and readiness scoring) to produce a baseline vs stressed financial snapshot, key lender-style metrics, and a one-page bank report summarising assumptions, quantified impacts, and a management action plan. In short, it helps an SME demonstrate, in a structured and evidence-friendly way, how climate risks could affect profitability and cash resilience, and what mitigations the business will implement to remain creditworthy under climate stress.</a:t>
          </a:r>
          <a:r>
            <a:rPr lang="en-US">
              <a:effectLst/>
            </a:rPr>
            <a:t> </a:t>
          </a:r>
          <a:endParaRPr lang="en-US" sz="1100"/>
        </a:p>
      </xdr:txBody>
    </xdr:sp>
    <xdr:clientData/>
  </xdr:twoCellAnchor>
</xdr:wsDr>
</file>

<file path=xl/theme/theme1.xml><?xml version="1.0" encoding="utf-8"?>
<a:theme xmlns:a="http://schemas.openxmlformats.org/drawingml/2006/main" name="Office Theme">
  <a:themeElements>
    <a:clrScheme name="Blue">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showGridLines="0" tabSelected="1" workbookViewId="0">
      <selection activeCell="A3" sqref="A3"/>
    </sheetView>
  </sheetViews>
  <sheetFormatPr defaultRowHeight="14.5" x14ac:dyDescent="0.35"/>
  <cols>
    <col min="1" max="1" width="2" customWidth="1"/>
    <col min="2" max="2" width="42" customWidth="1"/>
    <col min="3" max="3" width="70" customWidth="1"/>
    <col min="4" max="4" width="3" customWidth="1"/>
    <col min="5" max="6" width="35" customWidth="1"/>
    <col min="7" max="7" width="3" customWidth="1"/>
    <col min="8" max="10" width="30" customWidth="1"/>
    <col min="11" max="11" width="10" customWidth="1"/>
  </cols>
  <sheetData>
    <row r="1" spans="1:11" ht="28" customHeight="1" x14ac:dyDescent="0.35">
      <c r="A1" s="47" t="s">
        <v>0</v>
      </c>
      <c r="B1" s="48"/>
      <c r="C1" s="48"/>
      <c r="D1" s="48"/>
      <c r="E1" s="48"/>
      <c r="F1" s="48"/>
      <c r="G1" s="48"/>
      <c r="H1" s="48"/>
      <c r="I1" s="48"/>
      <c r="J1" s="48"/>
      <c r="K1" s="48"/>
    </row>
    <row r="3" spans="1:11" x14ac:dyDescent="0.35">
      <c r="B3" s="1" t="s">
        <v>1</v>
      </c>
      <c r="E3" s="1" t="s">
        <v>2</v>
      </c>
    </row>
    <row r="4" spans="1:11" ht="43.5" x14ac:dyDescent="0.35">
      <c r="B4" s="19" t="s">
        <v>3</v>
      </c>
      <c r="E4" s="2" t="s">
        <v>4</v>
      </c>
      <c r="F4" s="2" t="s">
        <v>5</v>
      </c>
    </row>
    <row r="5" spans="1:11" ht="58" x14ac:dyDescent="0.35">
      <c r="B5" s="19" t="s">
        <v>6</v>
      </c>
      <c r="E5" s="3" t="s">
        <v>7</v>
      </c>
      <c r="F5" s="3" t="s">
        <v>8</v>
      </c>
    </row>
    <row r="6" spans="1:11" ht="43.5" x14ac:dyDescent="0.35">
      <c r="B6" s="19" t="s">
        <v>9</v>
      </c>
      <c r="E6" s="3" t="s">
        <v>10</v>
      </c>
      <c r="F6" s="3" t="s">
        <v>11</v>
      </c>
    </row>
    <row r="7" spans="1:11" ht="29" x14ac:dyDescent="0.35">
      <c r="B7" s="19" t="s">
        <v>12</v>
      </c>
      <c r="E7" s="3" t="s">
        <v>13</v>
      </c>
      <c r="F7" s="3" t="s">
        <v>14</v>
      </c>
    </row>
    <row r="8" spans="1:11" ht="29" x14ac:dyDescent="0.35">
      <c r="B8" s="19" t="s">
        <v>15</v>
      </c>
      <c r="E8" s="3" t="s">
        <v>16</v>
      </c>
      <c r="F8" s="3" t="s">
        <v>17</v>
      </c>
    </row>
    <row r="9" spans="1:11" ht="36" x14ac:dyDescent="0.35">
      <c r="B9" s="4" t="s">
        <v>18</v>
      </c>
      <c r="E9" s="3" t="s">
        <v>19</v>
      </c>
      <c r="F9" s="3" t="s">
        <v>20</v>
      </c>
    </row>
    <row r="10" spans="1:11" ht="29" x14ac:dyDescent="0.35">
      <c r="E10" s="3" t="s">
        <v>21</v>
      </c>
      <c r="F10" s="3" t="s">
        <v>22</v>
      </c>
    </row>
    <row r="11" spans="1:11" ht="29" x14ac:dyDescent="0.35">
      <c r="E11" s="3" t="s">
        <v>23</v>
      </c>
      <c r="F11" s="3" t="s">
        <v>24</v>
      </c>
    </row>
    <row r="12" spans="1:11" x14ac:dyDescent="0.35">
      <c r="E12" s="3" t="s">
        <v>25</v>
      </c>
      <c r="F12" s="3" t="s">
        <v>26</v>
      </c>
    </row>
    <row r="13" spans="1:11" x14ac:dyDescent="0.35">
      <c r="E13" s="3" t="s">
        <v>27</v>
      </c>
      <c r="F13" s="3" t="s">
        <v>28</v>
      </c>
    </row>
    <row r="14" spans="1:11" x14ac:dyDescent="0.35">
      <c r="E14" s="3" t="s">
        <v>29</v>
      </c>
      <c r="F14" s="3" t="s">
        <v>30</v>
      </c>
    </row>
  </sheetData>
  <mergeCells count="1">
    <mergeCell ref="A1:K1"/>
  </mergeCell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7"/>
  <sheetViews>
    <sheetView showGridLines="0" topLeftCell="A28" workbookViewId="0">
      <selection activeCell="B41" sqref="B41"/>
    </sheetView>
  </sheetViews>
  <sheetFormatPr defaultRowHeight="14.5" x14ac:dyDescent="0.35"/>
  <cols>
    <col min="1" max="1" width="2" customWidth="1"/>
    <col min="2" max="2" width="40" customWidth="1"/>
    <col min="3" max="3" width="55" customWidth="1"/>
    <col min="4" max="4" width="10" customWidth="1"/>
    <col min="5" max="10" width="22" customWidth="1"/>
    <col min="11" max="11" width="10" customWidth="1"/>
  </cols>
  <sheetData>
    <row r="1" spans="1:11" ht="28" customHeight="1" x14ac:dyDescent="0.35">
      <c r="A1" s="47" t="s">
        <v>254</v>
      </c>
      <c r="B1" s="48"/>
      <c r="C1" s="48"/>
      <c r="D1" s="48"/>
      <c r="E1" s="48"/>
      <c r="F1" s="48"/>
      <c r="G1" s="48"/>
      <c r="H1" s="48"/>
      <c r="I1" s="48"/>
      <c r="J1" s="48"/>
      <c r="K1" s="48"/>
    </row>
    <row r="2" spans="1:11" ht="20" customHeight="1" x14ac:dyDescent="0.35">
      <c r="A2" s="49" t="s">
        <v>255</v>
      </c>
      <c r="B2" s="48"/>
      <c r="C2" s="48"/>
      <c r="D2" s="48"/>
      <c r="E2" s="48"/>
      <c r="F2" s="48"/>
      <c r="G2" s="48"/>
      <c r="H2" s="48"/>
      <c r="I2" s="48"/>
      <c r="J2" s="48"/>
      <c r="K2" s="48"/>
    </row>
    <row r="4" spans="1:11" ht="20" customHeight="1" x14ac:dyDescent="0.35">
      <c r="A4" s="50" t="s">
        <v>256</v>
      </c>
      <c r="B4" s="48"/>
      <c r="C4" s="48"/>
      <c r="D4" s="48"/>
      <c r="E4" s="48"/>
      <c r="F4" s="48"/>
      <c r="G4" s="48"/>
      <c r="H4" s="48"/>
      <c r="I4" s="48"/>
      <c r="J4" s="48"/>
      <c r="K4" s="48"/>
    </row>
    <row r="5" spans="1:11" x14ac:dyDescent="0.35">
      <c r="B5" s="2" t="s">
        <v>257</v>
      </c>
      <c r="C5" s="16" t="str">
        <f>Company_Profile!C5</f>
        <v>Al Noor Cold Chain Logistics LLC</v>
      </c>
    </row>
    <row r="6" spans="1:11" x14ac:dyDescent="0.35">
      <c r="B6" s="2" t="s">
        <v>40</v>
      </c>
      <c r="C6" s="16" t="str">
        <f>Company_Profile!C8</f>
        <v>Logistics &amp; Warehousing (Cold chain)</v>
      </c>
    </row>
    <row r="7" spans="1:11" x14ac:dyDescent="0.35">
      <c r="B7" s="2" t="s">
        <v>112</v>
      </c>
      <c r="C7" s="16" t="str">
        <f>Scenario_Assumptions!C5</f>
        <v>Disorderly Transition</v>
      </c>
    </row>
    <row r="8" spans="1:11" x14ac:dyDescent="0.35">
      <c r="B8" s="2" t="s">
        <v>258</v>
      </c>
      <c r="C8" s="16" t="str">
        <f>Scenario_Assumptions!C6</f>
        <v>Medium (4–10y)</v>
      </c>
    </row>
    <row r="9" spans="1:11" x14ac:dyDescent="0.35">
      <c r="B9" s="2" t="s">
        <v>243</v>
      </c>
      <c r="C9" s="16" t="str">
        <f>Scenario_Assumptions!C7</f>
        <v>FY+2</v>
      </c>
    </row>
    <row r="11" spans="1:11" ht="20" customHeight="1" x14ac:dyDescent="0.35">
      <c r="A11" s="50" t="s">
        <v>259</v>
      </c>
      <c r="B11" s="48"/>
      <c r="C11" s="48"/>
      <c r="D11" s="48"/>
      <c r="E11" s="48"/>
      <c r="F11" s="48"/>
      <c r="G11" s="48"/>
      <c r="H11" s="48"/>
      <c r="I11" s="48"/>
      <c r="J11" s="48"/>
      <c r="K11" s="48"/>
    </row>
    <row r="12" spans="1:11" x14ac:dyDescent="0.35">
      <c r="B12" s="6" t="s">
        <v>104</v>
      </c>
      <c r="C12" s="6" t="s">
        <v>222</v>
      </c>
      <c r="D12" s="6" t="s">
        <v>224</v>
      </c>
      <c r="E12" s="6" t="s">
        <v>236</v>
      </c>
    </row>
    <row r="13" spans="1:11" x14ac:dyDescent="0.35">
      <c r="B13" s="3" t="s">
        <v>86</v>
      </c>
      <c r="C13" s="14">
        <f>Impact_Model!C6</f>
        <v>48000000</v>
      </c>
      <c r="D13" s="14">
        <f>Impact_Model!E6</f>
        <v>47520000</v>
      </c>
      <c r="E13" s="15">
        <f>IFERROR((N(D13)-N(C13))/N(C13),0)</f>
        <v>-0.01</v>
      </c>
    </row>
    <row r="14" spans="1:11" x14ac:dyDescent="0.35">
      <c r="B14" s="3" t="s">
        <v>252</v>
      </c>
      <c r="C14" s="14">
        <f>N(Impact_Model!C6)-N(Impact_Model!C7)-N(Impact_Model!C8)</f>
        <v>8200000</v>
      </c>
      <c r="D14" s="14">
        <f>N(Impact_Model!E6)-N(Impact_Model!E7)-N(Impact_Model!E8)</f>
        <v>2670399.9999999981</v>
      </c>
      <c r="E14" s="15">
        <f>IFERROR((N(D14)-N(C14))/N(C14),0)</f>
        <v>-0.67434146341463441</v>
      </c>
    </row>
    <row r="15" spans="1:11" x14ac:dyDescent="0.35">
      <c r="B15" s="3" t="s">
        <v>240</v>
      </c>
      <c r="C15" s="14">
        <f>N(Impact_Model!C6)-N(Impact_Model!C7)-N(Impact_Model!C8)-N(Impact_Model!C9)</f>
        <v>7220000</v>
      </c>
      <c r="D15" s="14">
        <f>N(Impact_Model!E6)-N(Impact_Model!E7)-N(Impact_Model!E8)-N(Impact_Model!E9)-N(Impact_Model!E10)-N(Impact_Model!E11)-N(Impact_Model!E12)</f>
        <v>-343659.24657534435</v>
      </c>
      <c r="E15" s="15">
        <f>IFERROR((N(D15)-N(C15))/N(C15),0)</f>
        <v>-1.0475982335976932</v>
      </c>
    </row>
    <row r="18" spans="1:11" ht="20" customHeight="1" x14ac:dyDescent="0.35">
      <c r="A18" s="50" t="s">
        <v>260</v>
      </c>
      <c r="B18" s="48"/>
      <c r="C18" s="48"/>
      <c r="D18" s="48"/>
      <c r="E18" s="48"/>
      <c r="F18" s="48"/>
      <c r="G18" s="48"/>
      <c r="H18" s="48"/>
      <c r="I18" s="48"/>
      <c r="J18" s="48"/>
      <c r="K18" s="48"/>
    </row>
    <row r="19" spans="1:11" x14ac:dyDescent="0.35">
      <c r="B19" s="2" t="s">
        <v>261</v>
      </c>
      <c r="C19" s="2" t="s">
        <v>262</v>
      </c>
    </row>
    <row r="20" spans="1:11" ht="29" x14ac:dyDescent="0.35">
      <c r="B20" s="18" t="s">
        <v>263</v>
      </c>
      <c r="C20" s="5" t="s">
        <v>264</v>
      </c>
    </row>
    <row r="21" spans="1:11" ht="29" x14ac:dyDescent="0.35">
      <c r="B21" s="18" t="s">
        <v>265</v>
      </c>
      <c r="C21" s="5" t="s">
        <v>266</v>
      </c>
    </row>
    <row r="22" spans="1:11" ht="43.5" x14ac:dyDescent="0.35">
      <c r="B22" s="18" t="s">
        <v>267</v>
      </c>
      <c r="C22" s="5" t="s">
        <v>268</v>
      </c>
    </row>
    <row r="23" spans="1:11" ht="29" x14ac:dyDescent="0.35">
      <c r="B23" s="18" t="s">
        <v>269</v>
      </c>
      <c r="C23" s="5" t="s">
        <v>270</v>
      </c>
    </row>
    <row r="24" spans="1:11" ht="29" x14ac:dyDescent="0.35">
      <c r="B24" s="18" t="s">
        <v>271</v>
      </c>
      <c r="C24" s="5" t="s">
        <v>272</v>
      </c>
    </row>
    <row r="25" spans="1:11" ht="29" x14ac:dyDescent="0.35">
      <c r="B25" s="18" t="s">
        <v>273</v>
      </c>
      <c r="C25" s="5" t="s">
        <v>274</v>
      </c>
    </row>
    <row r="26" spans="1:11" ht="29" x14ac:dyDescent="0.35">
      <c r="B26" s="18" t="s">
        <v>275</v>
      </c>
      <c r="C26" s="5" t="s">
        <v>276</v>
      </c>
    </row>
    <row r="27" spans="1:11" ht="29" x14ac:dyDescent="0.35">
      <c r="B27" s="18" t="s">
        <v>277</v>
      </c>
      <c r="C27" s="5" t="s">
        <v>278</v>
      </c>
    </row>
    <row r="30" spans="1:11" ht="20" customHeight="1" x14ac:dyDescent="0.35">
      <c r="A30" s="50" t="s">
        <v>279</v>
      </c>
      <c r="B30" s="48"/>
      <c r="C30" s="48"/>
      <c r="D30" s="48"/>
      <c r="E30" s="48"/>
      <c r="F30" s="48"/>
      <c r="G30" s="48"/>
      <c r="H30" s="48"/>
      <c r="I30" s="48"/>
      <c r="J30" s="48"/>
      <c r="K30" s="48"/>
    </row>
    <row r="31" spans="1:11" x14ac:dyDescent="0.35">
      <c r="B31" s="6" t="s">
        <v>280</v>
      </c>
      <c r="C31" s="6" t="s">
        <v>281</v>
      </c>
      <c r="D31" s="6" t="s">
        <v>282</v>
      </c>
      <c r="E31" s="6" t="s">
        <v>283</v>
      </c>
    </row>
    <row r="32" spans="1:11" ht="58" x14ac:dyDescent="0.35">
      <c r="B32" s="5" t="s">
        <v>284</v>
      </c>
      <c r="C32" s="5" t="s">
        <v>285</v>
      </c>
      <c r="D32" s="5" t="s">
        <v>286</v>
      </c>
      <c r="E32" s="5" t="s">
        <v>287</v>
      </c>
    </row>
    <row r="33" spans="2:5" ht="29" x14ac:dyDescent="0.35">
      <c r="B33" s="5" t="s">
        <v>288</v>
      </c>
      <c r="C33" s="5" t="s">
        <v>289</v>
      </c>
      <c r="D33" s="5" t="s">
        <v>290</v>
      </c>
      <c r="E33" s="5" t="s">
        <v>291</v>
      </c>
    </row>
    <row r="34" spans="2:5" ht="43.5" x14ac:dyDescent="0.35">
      <c r="B34" s="5" t="s">
        <v>292</v>
      </c>
      <c r="C34" s="5" t="s">
        <v>293</v>
      </c>
      <c r="D34" s="5" t="s">
        <v>294</v>
      </c>
      <c r="E34" s="5" t="s">
        <v>295</v>
      </c>
    </row>
    <row r="35" spans="2:5" ht="29" x14ac:dyDescent="0.35">
      <c r="B35" s="5" t="s">
        <v>296</v>
      </c>
      <c r="C35" s="5" t="s">
        <v>297</v>
      </c>
      <c r="D35" s="5" t="s">
        <v>298</v>
      </c>
      <c r="E35" s="5" t="s">
        <v>299</v>
      </c>
    </row>
    <row r="36" spans="2:5" ht="43.5" x14ac:dyDescent="0.35">
      <c r="B36" s="5" t="s">
        <v>300</v>
      </c>
      <c r="C36" s="5" t="s">
        <v>301</v>
      </c>
      <c r="D36" s="5" t="s">
        <v>302</v>
      </c>
      <c r="E36" s="5" t="s">
        <v>303</v>
      </c>
    </row>
    <row r="37" spans="2:5" x14ac:dyDescent="0.35">
      <c r="B37" s="5"/>
      <c r="C37" s="5"/>
      <c r="D37" s="5"/>
      <c r="E37" s="5"/>
    </row>
  </sheetData>
  <mergeCells count="6">
    <mergeCell ref="A1:K1"/>
    <mergeCell ref="A18:K18"/>
    <mergeCell ref="A4:K4"/>
    <mergeCell ref="A30:K30"/>
    <mergeCell ref="A2:K2"/>
    <mergeCell ref="A11:K11"/>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6"/>
  <sheetViews>
    <sheetView showGridLines="0" workbookViewId="0">
      <pane xSplit="1" ySplit="5" topLeftCell="B6" activePane="bottomRight" state="frozen"/>
      <selection pane="topRight"/>
      <selection pane="bottomLeft"/>
      <selection pane="bottomRight" sqref="A1:K1"/>
    </sheetView>
  </sheetViews>
  <sheetFormatPr defaultRowHeight="14.5" x14ac:dyDescent="0.35"/>
  <cols>
    <col min="1" max="1" width="2" customWidth="1"/>
    <col min="2" max="2" width="40" customWidth="1"/>
    <col min="3" max="3" width="85" customWidth="1"/>
    <col min="4" max="10" width="16" customWidth="1"/>
    <col min="11" max="11" width="10" customWidth="1"/>
  </cols>
  <sheetData>
    <row r="1" spans="1:11" ht="28" customHeight="1" x14ac:dyDescent="0.35">
      <c r="A1" s="47" t="s">
        <v>304</v>
      </c>
      <c r="B1" s="48"/>
      <c r="C1" s="48"/>
      <c r="D1" s="48"/>
      <c r="E1" s="48"/>
      <c r="F1" s="48"/>
      <c r="G1" s="48"/>
      <c r="H1" s="48"/>
      <c r="I1" s="48"/>
      <c r="J1" s="48"/>
      <c r="K1" s="48"/>
    </row>
    <row r="2" spans="1:11" ht="20" customHeight="1" x14ac:dyDescent="0.35">
      <c r="A2" s="49" t="s">
        <v>305</v>
      </c>
      <c r="B2" s="48"/>
      <c r="C2" s="48"/>
      <c r="D2" s="48"/>
      <c r="E2" s="48"/>
      <c r="F2" s="48"/>
      <c r="G2" s="48"/>
      <c r="H2" s="48"/>
      <c r="I2" s="48"/>
      <c r="J2" s="48"/>
      <c r="K2" s="48"/>
    </row>
    <row r="5" spans="1:11" x14ac:dyDescent="0.35">
      <c r="B5" s="2" t="s">
        <v>306</v>
      </c>
      <c r="C5" s="2" t="s">
        <v>307</v>
      </c>
    </row>
    <row r="6" spans="1:11" x14ac:dyDescent="0.35">
      <c r="B6" s="3" t="s">
        <v>308</v>
      </c>
      <c r="C6" s="5" t="s">
        <v>309</v>
      </c>
    </row>
    <row r="7" spans="1:11" x14ac:dyDescent="0.35">
      <c r="B7" s="3" t="s">
        <v>310</v>
      </c>
      <c r="C7" s="5" t="s">
        <v>311</v>
      </c>
    </row>
    <row r="8" spans="1:11" x14ac:dyDescent="0.35">
      <c r="B8" s="3" t="s">
        <v>312</v>
      </c>
      <c r="C8" s="5" t="s">
        <v>313</v>
      </c>
    </row>
    <row r="9" spans="1:11" x14ac:dyDescent="0.35">
      <c r="B9" s="3" t="s">
        <v>314</v>
      </c>
      <c r="C9" s="5" t="s">
        <v>315</v>
      </c>
    </row>
    <row r="10" spans="1:11" ht="29" x14ac:dyDescent="0.35">
      <c r="B10" s="3" t="s">
        <v>316</v>
      </c>
      <c r="C10" s="5" t="s">
        <v>317</v>
      </c>
    </row>
    <row r="11" spans="1:11" ht="29" x14ac:dyDescent="0.35">
      <c r="B11" s="3" t="s">
        <v>318</v>
      </c>
      <c r="C11" s="5" t="s">
        <v>319</v>
      </c>
    </row>
    <row r="12" spans="1:11" x14ac:dyDescent="0.35">
      <c r="B12" s="3" t="s">
        <v>320</v>
      </c>
      <c r="C12" s="5" t="s">
        <v>321</v>
      </c>
    </row>
    <row r="15" spans="1:11" x14ac:dyDescent="0.35">
      <c r="B15" s="1" t="s">
        <v>63</v>
      </c>
    </row>
    <row r="16" spans="1:11" ht="36" x14ac:dyDescent="0.35">
      <c r="B16" s="4" t="s">
        <v>322</v>
      </c>
    </row>
  </sheetData>
  <mergeCells count="2">
    <mergeCell ref="A2:K2"/>
    <mergeCell ref="A1:K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6"/>
  <sheetViews>
    <sheetView showGridLines="0" workbookViewId="0">
      <pane xSplit="1" ySplit="4" topLeftCell="B5" activePane="bottomRight" state="frozen"/>
      <selection pane="topRight"/>
      <selection pane="bottomLeft"/>
      <selection pane="bottomRight" sqref="A1:K1"/>
    </sheetView>
  </sheetViews>
  <sheetFormatPr defaultRowHeight="14.5" x14ac:dyDescent="0.35"/>
  <cols>
    <col min="1" max="1" width="2" customWidth="1"/>
    <col min="2" max="2" width="34" customWidth="1"/>
    <col min="3" max="3" width="45" customWidth="1"/>
    <col min="4" max="4" width="16" customWidth="1"/>
    <col min="5" max="10" width="18" customWidth="1"/>
    <col min="11" max="11" width="10" customWidth="1"/>
  </cols>
  <sheetData>
    <row r="1" spans="1:12" ht="28" customHeight="1" x14ac:dyDescent="0.35">
      <c r="A1" s="47" t="s">
        <v>31</v>
      </c>
      <c r="B1" s="48"/>
      <c r="C1" s="48"/>
      <c r="D1" s="48"/>
      <c r="E1" s="48"/>
      <c r="F1" s="48"/>
      <c r="G1" s="48"/>
      <c r="H1" s="48"/>
      <c r="I1" s="48"/>
      <c r="J1" s="48"/>
      <c r="K1" s="48"/>
    </row>
    <row r="2" spans="1:12" ht="20" customHeight="1" x14ac:dyDescent="0.35">
      <c r="A2" s="49" t="s">
        <v>32</v>
      </c>
      <c r="B2" s="48"/>
      <c r="C2" s="48"/>
      <c r="D2" s="48"/>
      <c r="E2" s="48"/>
      <c r="F2" s="48"/>
      <c r="G2" s="48"/>
      <c r="H2" s="48"/>
      <c r="I2" s="48"/>
      <c r="J2" s="48"/>
      <c r="K2" s="48"/>
    </row>
    <row r="4" spans="1:12" ht="20" customHeight="1" x14ac:dyDescent="0.35">
      <c r="A4" s="50" t="s">
        <v>33</v>
      </c>
      <c r="B4" s="48"/>
      <c r="C4" s="48"/>
      <c r="D4" s="48"/>
      <c r="E4" s="48"/>
      <c r="F4" s="48"/>
      <c r="G4" s="48"/>
      <c r="H4" s="48"/>
      <c r="I4" s="48"/>
      <c r="J4" s="48"/>
      <c r="K4" s="48"/>
    </row>
    <row r="5" spans="1:12" x14ac:dyDescent="0.35">
      <c r="B5" s="3" t="s">
        <v>34</v>
      </c>
      <c r="C5" s="5" t="s">
        <v>35</v>
      </c>
    </row>
    <row r="6" spans="1:12" x14ac:dyDescent="0.35">
      <c r="B6" s="3" t="s">
        <v>36</v>
      </c>
      <c r="C6" s="5" t="s">
        <v>37</v>
      </c>
    </row>
    <row r="7" spans="1:12" x14ac:dyDescent="0.35">
      <c r="B7" s="3" t="s">
        <v>38</v>
      </c>
      <c r="C7" s="5" t="s">
        <v>39</v>
      </c>
    </row>
    <row r="8" spans="1:12" x14ac:dyDescent="0.35">
      <c r="B8" s="3" t="s">
        <v>40</v>
      </c>
      <c r="C8" s="5" t="s">
        <v>41</v>
      </c>
    </row>
    <row r="9" spans="1:12" ht="29" x14ac:dyDescent="0.35">
      <c r="B9" s="3" t="s">
        <v>42</v>
      </c>
      <c r="C9" s="5" t="s">
        <v>43</v>
      </c>
    </row>
    <row r="10" spans="1:12" ht="29" x14ac:dyDescent="0.35">
      <c r="B10" s="3" t="s">
        <v>44</v>
      </c>
      <c r="C10" s="5" t="s">
        <v>45</v>
      </c>
    </row>
    <row r="11" spans="1:12" ht="43.5" x14ac:dyDescent="0.35">
      <c r="B11" s="3" t="s">
        <v>46</v>
      </c>
      <c r="C11" s="5" t="s">
        <v>47</v>
      </c>
    </row>
    <row r="12" spans="1:12" ht="29" x14ac:dyDescent="0.35">
      <c r="B12" s="3" t="s">
        <v>48</v>
      </c>
      <c r="C12" s="5" t="s">
        <v>49</v>
      </c>
    </row>
    <row r="13" spans="1:12" x14ac:dyDescent="0.35">
      <c r="B13" s="3" t="s">
        <v>50</v>
      </c>
      <c r="C13" s="5" t="s">
        <v>51</v>
      </c>
    </row>
    <row r="15" spans="1:12" ht="20" customHeight="1" x14ac:dyDescent="0.35">
      <c r="A15" s="50" t="s">
        <v>52</v>
      </c>
      <c r="B15" s="48"/>
      <c r="C15" s="48"/>
      <c r="D15" s="48"/>
      <c r="E15" s="48"/>
      <c r="F15" s="48"/>
      <c r="G15" s="48"/>
      <c r="H15" s="48"/>
      <c r="I15" s="48"/>
      <c r="J15" s="48"/>
      <c r="K15" s="48"/>
    </row>
    <row r="16" spans="1:12" ht="43.5" x14ac:dyDescent="0.35">
      <c r="B16" s="6" t="s">
        <v>53</v>
      </c>
      <c r="C16" s="6" t="s">
        <v>54</v>
      </c>
      <c r="D16" s="6" t="s">
        <v>55</v>
      </c>
      <c r="E16" s="6" t="s">
        <v>56</v>
      </c>
      <c r="F16" s="6" t="s">
        <v>57</v>
      </c>
      <c r="G16" s="6" t="s">
        <v>58</v>
      </c>
      <c r="H16" s="6" t="s">
        <v>59</v>
      </c>
      <c r="I16" s="6" t="s">
        <v>60</v>
      </c>
      <c r="J16" s="6" t="s">
        <v>61</v>
      </c>
      <c r="K16" s="6" t="s">
        <v>62</v>
      </c>
      <c r="L16" s="6" t="s">
        <v>63</v>
      </c>
    </row>
    <row r="17" spans="2:12" ht="58" x14ac:dyDescent="0.35">
      <c r="B17" s="5" t="s">
        <v>64</v>
      </c>
      <c r="C17" s="5" t="s">
        <v>65</v>
      </c>
      <c r="D17" s="5" t="s">
        <v>66</v>
      </c>
      <c r="E17" s="7">
        <v>24.984999999999999</v>
      </c>
      <c r="F17" s="7">
        <v>55.055999999999997</v>
      </c>
      <c r="G17" s="7" t="s">
        <v>67</v>
      </c>
      <c r="H17" s="5">
        <v>5</v>
      </c>
      <c r="I17" s="7">
        <v>70</v>
      </c>
      <c r="J17" s="7" t="s">
        <v>68</v>
      </c>
      <c r="K17" s="5"/>
      <c r="L17" s="5"/>
    </row>
    <row r="18" spans="2:12" ht="43.5" x14ac:dyDescent="0.35">
      <c r="B18" s="5" t="s">
        <v>69</v>
      </c>
      <c r="C18" s="5" t="s">
        <v>70</v>
      </c>
      <c r="D18" s="5" t="s">
        <v>71</v>
      </c>
      <c r="E18" s="7">
        <v>24.361999999999998</v>
      </c>
      <c r="F18" s="7">
        <v>54.51</v>
      </c>
      <c r="G18" s="7" t="s">
        <v>72</v>
      </c>
      <c r="H18" s="5">
        <v>4</v>
      </c>
      <c r="I18" s="7">
        <v>30</v>
      </c>
      <c r="J18" s="7" t="s">
        <v>73</v>
      </c>
      <c r="K18" s="5"/>
      <c r="L18" s="5"/>
    </row>
    <row r="19" spans="2:12" x14ac:dyDescent="0.35">
      <c r="B19" s="5"/>
      <c r="C19" s="5"/>
      <c r="D19" s="5"/>
      <c r="E19" s="7"/>
      <c r="F19" s="7"/>
      <c r="G19" s="7"/>
      <c r="H19" s="5"/>
      <c r="I19" s="7"/>
      <c r="J19" s="7"/>
      <c r="K19" s="5"/>
      <c r="L19" s="5"/>
    </row>
    <row r="20" spans="2:12" x14ac:dyDescent="0.35">
      <c r="B20" s="5"/>
      <c r="C20" s="5"/>
      <c r="D20" s="5"/>
      <c r="E20" s="7"/>
      <c r="F20" s="7"/>
      <c r="G20" s="7"/>
      <c r="H20" s="5"/>
      <c r="I20" s="7"/>
      <c r="J20" s="7"/>
      <c r="K20" s="5"/>
      <c r="L20" s="5"/>
    </row>
    <row r="21" spans="2:12" x14ac:dyDescent="0.35">
      <c r="B21" s="5"/>
      <c r="C21" s="5"/>
      <c r="D21" s="5"/>
      <c r="E21" s="7"/>
      <c r="F21" s="7"/>
      <c r="G21" s="7"/>
      <c r="H21" s="5"/>
      <c r="I21" s="7"/>
      <c r="J21" s="7"/>
      <c r="K21" s="5"/>
      <c r="L21" s="5"/>
    </row>
    <row r="22" spans="2:12" x14ac:dyDescent="0.35">
      <c r="B22" s="5"/>
      <c r="C22" s="5"/>
      <c r="D22" s="5"/>
      <c r="E22" s="7"/>
      <c r="F22" s="7"/>
      <c r="G22" s="7"/>
      <c r="H22" s="5"/>
      <c r="I22" s="7"/>
      <c r="J22" s="7"/>
      <c r="K22" s="5"/>
      <c r="L22" s="5"/>
    </row>
    <row r="23" spans="2:12" x14ac:dyDescent="0.35">
      <c r="B23" s="5"/>
      <c r="C23" s="5"/>
      <c r="D23" s="5"/>
      <c r="E23" s="7"/>
      <c r="F23" s="7"/>
      <c r="G23" s="7"/>
      <c r="H23" s="5"/>
      <c r="I23" s="7"/>
      <c r="J23" s="7"/>
      <c r="K23" s="5"/>
      <c r="L23" s="5"/>
    </row>
    <row r="24" spans="2:12" x14ac:dyDescent="0.35">
      <c r="B24" s="5"/>
      <c r="C24" s="5"/>
      <c r="D24" s="5"/>
      <c r="E24" s="7"/>
      <c r="F24" s="7"/>
      <c r="G24" s="7"/>
      <c r="H24" s="5"/>
      <c r="I24" s="7"/>
      <c r="J24" s="7"/>
      <c r="K24" s="5"/>
      <c r="L24" s="5"/>
    </row>
    <row r="25" spans="2:12" x14ac:dyDescent="0.35">
      <c r="B25" s="5"/>
      <c r="C25" s="5"/>
      <c r="D25" s="5"/>
      <c r="E25" s="7"/>
      <c r="F25" s="7"/>
      <c r="G25" s="7"/>
      <c r="H25" s="5"/>
      <c r="I25" s="7"/>
      <c r="J25" s="7"/>
      <c r="K25" s="5"/>
      <c r="L25" s="5"/>
    </row>
    <row r="26" spans="2:12" x14ac:dyDescent="0.35">
      <c r="B26" s="5"/>
      <c r="C26" s="5"/>
      <c r="D26" s="5"/>
      <c r="E26" s="7"/>
      <c r="F26" s="7"/>
      <c r="G26" s="7"/>
      <c r="H26" s="5"/>
      <c r="I26" s="7"/>
      <c r="J26" s="7"/>
      <c r="K26" s="5"/>
      <c r="L26" s="5"/>
    </row>
  </sheetData>
  <mergeCells count="4">
    <mergeCell ref="A2:K2"/>
    <mergeCell ref="A15:K15"/>
    <mergeCell ref="A1:K1"/>
    <mergeCell ref="A4:K4"/>
  </mergeCells>
  <dataValidations count="3">
    <dataValidation type="list" allowBlank="1" sqref="C13 L17:L26" xr:uid="{00000000-0002-0000-0100-000000000000}">
      <formula1>"Y,N"</formula1>
    </dataValidation>
    <dataValidation type="whole" allowBlank="1" sqref="H17 H18 H19 H20 H21 H22 H23 H24 H25 H26" xr:uid="{00000000-0002-0000-0100-000001000000}">
      <formula1>1</formula1>
      <formula2>5</formula2>
    </dataValidation>
    <dataValidation type="decimal" allowBlank="1" sqref="I17 I18 I19 I20 I21 I22 I23 I24 I25 I26" xr:uid="{00000000-0002-0000-0100-000002000000}">
      <formula1>0</formula1>
      <formula2>100</formula2>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2"/>
  <sheetViews>
    <sheetView showGridLines="0" workbookViewId="0">
      <selection activeCell="E12" sqref="E12"/>
    </sheetView>
  </sheetViews>
  <sheetFormatPr defaultRowHeight="14.5" x14ac:dyDescent="0.35"/>
  <cols>
    <col min="1" max="1" width="2" customWidth="1"/>
    <col min="2" max="2" width="40" customWidth="1"/>
    <col min="3" max="10" width="16" customWidth="1"/>
    <col min="11" max="11" width="10" customWidth="1"/>
  </cols>
  <sheetData>
    <row r="1" spans="1:11" ht="28" customHeight="1" x14ac:dyDescent="0.35">
      <c r="A1" s="47" t="s">
        <v>74</v>
      </c>
      <c r="B1" s="48"/>
      <c r="C1" s="48"/>
      <c r="D1" s="48"/>
      <c r="E1" s="48"/>
      <c r="F1" s="48"/>
      <c r="G1" s="48"/>
      <c r="H1" s="48"/>
      <c r="I1" s="48"/>
      <c r="J1" s="48"/>
      <c r="K1" s="48"/>
    </row>
    <row r="2" spans="1:11" ht="20" customHeight="1" x14ac:dyDescent="0.35">
      <c r="A2" s="49" t="s">
        <v>75</v>
      </c>
      <c r="B2" s="48"/>
      <c r="C2" s="48"/>
      <c r="D2" s="48"/>
      <c r="E2" s="48"/>
      <c r="F2" s="48"/>
      <c r="G2" s="48"/>
      <c r="H2" s="48"/>
      <c r="I2" s="48"/>
      <c r="J2" s="48"/>
      <c r="K2" s="48"/>
    </row>
    <row r="4" spans="1:11" ht="20" customHeight="1" x14ac:dyDescent="0.35">
      <c r="A4" s="50" t="s">
        <v>76</v>
      </c>
      <c r="B4" s="48"/>
      <c r="C4" s="48"/>
      <c r="D4" s="48"/>
      <c r="E4" s="48"/>
      <c r="F4" s="48"/>
      <c r="G4" s="48"/>
      <c r="H4" s="48"/>
      <c r="I4" s="48"/>
      <c r="J4" s="48"/>
      <c r="K4" s="48"/>
    </row>
    <row r="5" spans="1:11" x14ac:dyDescent="0.35">
      <c r="B5" s="8" t="s">
        <v>77</v>
      </c>
      <c r="C5" s="6" t="s">
        <v>78</v>
      </c>
      <c r="D5" s="6" t="s">
        <v>79</v>
      </c>
      <c r="E5" s="6" t="s">
        <v>80</v>
      </c>
      <c r="F5" s="6" t="s">
        <v>81</v>
      </c>
      <c r="G5" s="6" t="s">
        <v>82</v>
      </c>
      <c r="H5" s="6" t="s">
        <v>83</v>
      </c>
      <c r="I5" s="6" t="s">
        <v>84</v>
      </c>
    </row>
    <row r="7" spans="1:11" ht="20" customHeight="1" x14ac:dyDescent="0.35">
      <c r="A7" s="50" t="s">
        <v>85</v>
      </c>
      <c r="B7" s="48"/>
      <c r="C7" s="48"/>
      <c r="D7" s="48"/>
      <c r="E7" s="48"/>
      <c r="F7" s="48"/>
      <c r="G7" s="48"/>
      <c r="H7" s="48"/>
      <c r="I7" s="48"/>
      <c r="J7" s="48"/>
      <c r="K7" s="48"/>
    </row>
    <row r="8" spans="1:11" x14ac:dyDescent="0.35">
      <c r="B8" s="3" t="s">
        <v>86</v>
      </c>
      <c r="C8" s="9">
        <v>32000000</v>
      </c>
      <c r="D8" s="9">
        <v>35000000</v>
      </c>
      <c r="E8" s="9">
        <v>38000000</v>
      </c>
      <c r="F8" s="9">
        <v>41000000</v>
      </c>
      <c r="G8" s="9">
        <v>44500000</v>
      </c>
      <c r="H8" s="9">
        <v>48000000</v>
      </c>
      <c r="I8" s="9">
        <v>52000000</v>
      </c>
    </row>
    <row r="9" spans="1:11" x14ac:dyDescent="0.35">
      <c r="B9" s="3" t="s">
        <v>87</v>
      </c>
      <c r="C9" s="9">
        <v>19200000</v>
      </c>
      <c r="D9" s="9">
        <v>21000000</v>
      </c>
      <c r="E9" s="9">
        <v>22800000</v>
      </c>
      <c r="F9" s="9">
        <v>24600000</v>
      </c>
      <c r="G9" s="9">
        <v>26400000</v>
      </c>
      <c r="H9" s="9">
        <v>28400000</v>
      </c>
      <c r="I9" s="9">
        <v>30600000</v>
      </c>
    </row>
    <row r="10" spans="1:11" x14ac:dyDescent="0.35">
      <c r="B10" s="3" t="s">
        <v>88</v>
      </c>
      <c r="C10" s="10">
        <f t="shared" ref="C10:I10" si="0">N(C8)-N(C9)</f>
        <v>12800000</v>
      </c>
      <c r="D10" s="10">
        <f t="shared" si="0"/>
        <v>14000000</v>
      </c>
      <c r="E10" s="10">
        <f t="shared" si="0"/>
        <v>15200000</v>
      </c>
      <c r="F10" s="10">
        <f t="shared" si="0"/>
        <v>16400000</v>
      </c>
      <c r="G10" s="10">
        <f t="shared" si="0"/>
        <v>18100000</v>
      </c>
      <c r="H10" s="10">
        <f t="shared" si="0"/>
        <v>19600000</v>
      </c>
      <c r="I10" s="10">
        <f t="shared" si="0"/>
        <v>21400000</v>
      </c>
    </row>
    <row r="11" spans="1:11" x14ac:dyDescent="0.35">
      <c r="B11" s="3" t="s">
        <v>89</v>
      </c>
      <c r="C11" s="9">
        <v>8500000</v>
      </c>
      <c r="D11" s="9">
        <v>9100000</v>
      </c>
      <c r="E11" s="9">
        <v>9600000</v>
      </c>
      <c r="F11" s="9">
        <v>10200000</v>
      </c>
      <c r="G11" s="9">
        <v>10800000</v>
      </c>
      <c r="H11" s="9">
        <v>11400000</v>
      </c>
      <c r="I11" s="9">
        <v>12000000</v>
      </c>
    </row>
    <row r="12" spans="1:11" x14ac:dyDescent="0.35">
      <c r="B12" s="3" t="s">
        <v>90</v>
      </c>
      <c r="C12" s="10">
        <f t="shared" ref="C12:I12" si="1">N(C10)-N(C11)</f>
        <v>4300000</v>
      </c>
      <c r="D12" s="10">
        <f t="shared" si="1"/>
        <v>4900000</v>
      </c>
      <c r="E12" s="10">
        <f t="shared" si="1"/>
        <v>5600000</v>
      </c>
      <c r="F12" s="10">
        <f t="shared" si="1"/>
        <v>6200000</v>
      </c>
      <c r="G12" s="10">
        <f t="shared" si="1"/>
        <v>7300000</v>
      </c>
      <c r="H12" s="10">
        <f t="shared" si="1"/>
        <v>8200000</v>
      </c>
      <c r="I12" s="10">
        <f t="shared" si="1"/>
        <v>9400000</v>
      </c>
    </row>
    <row r="13" spans="1:11" x14ac:dyDescent="0.35">
      <c r="B13" s="3" t="s">
        <v>91</v>
      </c>
      <c r="C13" s="9">
        <v>1600000</v>
      </c>
      <c r="D13" s="9">
        <v>1700000</v>
      </c>
      <c r="E13" s="9">
        <v>1800000</v>
      </c>
      <c r="F13" s="9">
        <v>1900000</v>
      </c>
      <c r="G13" s="9">
        <v>2000000</v>
      </c>
      <c r="H13" s="9">
        <v>2100000</v>
      </c>
      <c r="I13" s="9">
        <v>2200000</v>
      </c>
    </row>
    <row r="14" spans="1:11" x14ac:dyDescent="0.35">
      <c r="B14" s="3" t="s">
        <v>92</v>
      </c>
      <c r="C14" s="10">
        <f t="shared" ref="C14:I14" si="2">N(C12)-N(C13)</f>
        <v>2700000</v>
      </c>
      <c r="D14" s="10">
        <f t="shared" si="2"/>
        <v>3200000</v>
      </c>
      <c r="E14" s="10">
        <f t="shared" si="2"/>
        <v>3800000</v>
      </c>
      <c r="F14" s="10">
        <f t="shared" si="2"/>
        <v>4300000</v>
      </c>
      <c r="G14" s="10">
        <f t="shared" si="2"/>
        <v>5300000</v>
      </c>
      <c r="H14" s="10">
        <f t="shared" si="2"/>
        <v>6100000</v>
      </c>
      <c r="I14" s="10">
        <f t="shared" si="2"/>
        <v>7200000</v>
      </c>
    </row>
    <row r="15" spans="1:11" x14ac:dyDescent="0.35">
      <c r="B15" s="3" t="s">
        <v>93</v>
      </c>
      <c r="C15" s="9">
        <v>850000</v>
      </c>
      <c r="D15" s="9">
        <v>880000</v>
      </c>
      <c r="E15" s="9">
        <v>900000</v>
      </c>
      <c r="F15" s="9">
        <v>920000</v>
      </c>
      <c r="G15" s="9">
        <v>950000</v>
      </c>
      <c r="H15" s="9">
        <v>980000</v>
      </c>
      <c r="I15" s="9">
        <v>1000000</v>
      </c>
    </row>
    <row r="16" spans="1:11" x14ac:dyDescent="0.35">
      <c r="B16" s="3" t="s">
        <v>94</v>
      </c>
      <c r="C16" s="10">
        <f t="shared" ref="C16:I16" si="3">N(C14)-N(C15)</f>
        <v>1850000</v>
      </c>
      <c r="D16" s="10">
        <f t="shared" si="3"/>
        <v>2320000</v>
      </c>
      <c r="E16" s="10">
        <f t="shared" si="3"/>
        <v>2900000</v>
      </c>
      <c r="F16" s="10">
        <f t="shared" si="3"/>
        <v>3380000</v>
      </c>
      <c r="G16" s="10">
        <f t="shared" si="3"/>
        <v>4350000</v>
      </c>
      <c r="H16" s="10">
        <f t="shared" si="3"/>
        <v>5120000</v>
      </c>
      <c r="I16" s="10">
        <f t="shared" si="3"/>
        <v>6200000</v>
      </c>
    </row>
    <row r="18" spans="1:11" ht="20" customHeight="1" x14ac:dyDescent="0.35">
      <c r="A18" s="50" t="s">
        <v>95</v>
      </c>
      <c r="B18" s="48"/>
      <c r="C18" s="48"/>
      <c r="D18" s="48"/>
      <c r="E18" s="48"/>
      <c r="F18" s="48"/>
      <c r="G18" s="48"/>
      <c r="H18" s="48"/>
      <c r="I18" s="48"/>
      <c r="J18" s="48"/>
      <c r="K18" s="48"/>
    </row>
    <row r="19" spans="1:11" x14ac:dyDescent="0.35">
      <c r="B19" s="3" t="s">
        <v>96</v>
      </c>
      <c r="C19" s="9">
        <v>1200000</v>
      </c>
      <c r="D19" s="9">
        <v>1500000</v>
      </c>
      <c r="E19" s="9">
        <v>1800000</v>
      </c>
      <c r="F19" s="9">
        <v>2000000</v>
      </c>
      <c r="G19" s="9">
        <v>2200000</v>
      </c>
      <c r="H19" s="9">
        <v>2400000</v>
      </c>
      <c r="I19" s="9">
        <v>2600000</v>
      </c>
    </row>
    <row r="20" spans="1:11" x14ac:dyDescent="0.35">
      <c r="B20" s="3" t="s">
        <v>97</v>
      </c>
      <c r="C20" s="9">
        <v>300000</v>
      </c>
      <c r="D20" s="9">
        <v>350000</v>
      </c>
      <c r="E20" s="9">
        <v>400000</v>
      </c>
      <c r="F20" s="9">
        <v>450000</v>
      </c>
      <c r="G20" s="9">
        <v>500000</v>
      </c>
      <c r="H20" s="9">
        <v>550000</v>
      </c>
      <c r="I20" s="9">
        <v>600000</v>
      </c>
    </row>
    <row r="21" spans="1:11" x14ac:dyDescent="0.35">
      <c r="B21" s="3" t="s">
        <v>98</v>
      </c>
      <c r="C21" s="10">
        <f t="shared" ref="C21:I21" si="4">N(C12)-N(C20)</f>
        <v>4000000</v>
      </c>
      <c r="D21" s="10">
        <f t="shared" si="4"/>
        <v>4550000</v>
      </c>
      <c r="E21" s="10">
        <f t="shared" si="4"/>
        <v>5200000</v>
      </c>
      <c r="F21" s="10">
        <f t="shared" si="4"/>
        <v>5750000</v>
      </c>
      <c r="G21" s="10">
        <f t="shared" si="4"/>
        <v>6800000</v>
      </c>
      <c r="H21" s="10">
        <f t="shared" si="4"/>
        <v>7650000</v>
      </c>
      <c r="I21" s="10">
        <f t="shared" si="4"/>
        <v>8800000</v>
      </c>
    </row>
    <row r="22" spans="1:11" x14ac:dyDescent="0.35">
      <c r="B22" s="3" t="s">
        <v>99</v>
      </c>
      <c r="C22" s="10">
        <f t="shared" ref="C22:I22" si="5">N(C21)-N(C19)</f>
        <v>2800000</v>
      </c>
      <c r="D22" s="10">
        <f t="shared" si="5"/>
        <v>3050000</v>
      </c>
      <c r="E22" s="10">
        <f t="shared" si="5"/>
        <v>3400000</v>
      </c>
      <c r="F22" s="10">
        <f t="shared" si="5"/>
        <v>3750000</v>
      </c>
      <c r="G22" s="10">
        <f t="shared" si="5"/>
        <v>4600000</v>
      </c>
      <c r="H22" s="10">
        <f t="shared" si="5"/>
        <v>5250000</v>
      </c>
      <c r="I22" s="10">
        <f t="shared" si="5"/>
        <v>6200000</v>
      </c>
    </row>
    <row r="23" spans="1:11" x14ac:dyDescent="0.35">
      <c r="B23" s="3" t="s">
        <v>100</v>
      </c>
      <c r="C23" s="9">
        <v>13000000</v>
      </c>
      <c r="D23" s="9">
        <v>12500000</v>
      </c>
      <c r="E23" s="9">
        <v>12000000</v>
      </c>
      <c r="F23" s="9">
        <v>11500000</v>
      </c>
      <c r="G23" s="9">
        <v>11000000</v>
      </c>
      <c r="H23" s="9">
        <v>10500000</v>
      </c>
      <c r="I23" s="9">
        <v>10000000</v>
      </c>
    </row>
    <row r="24" spans="1:11" x14ac:dyDescent="0.35">
      <c r="B24" s="3" t="s">
        <v>101</v>
      </c>
      <c r="C24" s="9">
        <v>1800000</v>
      </c>
      <c r="D24" s="9">
        <v>2000000</v>
      </c>
      <c r="E24" s="9">
        <v>2200000</v>
      </c>
      <c r="F24" s="9">
        <v>2400000</v>
      </c>
      <c r="G24" s="9">
        <v>2600000</v>
      </c>
      <c r="H24" s="9">
        <v>2800000</v>
      </c>
      <c r="I24" s="9">
        <v>3000000</v>
      </c>
    </row>
    <row r="25" spans="1:11" x14ac:dyDescent="0.35">
      <c r="B25" s="3" t="s">
        <v>102</v>
      </c>
      <c r="C25" s="10">
        <f t="shared" ref="C25:I25" si="6">N(C23)-N(C24)</f>
        <v>11200000</v>
      </c>
      <c r="D25" s="10">
        <f t="shared" si="6"/>
        <v>10500000</v>
      </c>
      <c r="E25" s="10">
        <f t="shared" si="6"/>
        <v>9800000</v>
      </c>
      <c r="F25" s="10">
        <f t="shared" si="6"/>
        <v>9100000</v>
      </c>
      <c r="G25" s="10">
        <f t="shared" si="6"/>
        <v>8400000</v>
      </c>
      <c r="H25" s="10">
        <f t="shared" si="6"/>
        <v>7700000</v>
      </c>
      <c r="I25" s="10">
        <f t="shared" si="6"/>
        <v>7000000</v>
      </c>
    </row>
    <row r="27" spans="1:11" ht="20" customHeight="1" x14ac:dyDescent="0.35">
      <c r="A27" s="50" t="s">
        <v>103</v>
      </c>
      <c r="B27" s="48"/>
      <c r="C27" s="48"/>
      <c r="D27" s="48"/>
      <c r="E27" s="48"/>
      <c r="F27" s="48"/>
      <c r="G27" s="48"/>
      <c r="H27" s="48"/>
      <c r="I27" s="48"/>
      <c r="J27" s="48"/>
      <c r="K27" s="48"/>
    </row>
    <row r="28" spans="1:11" x14ac:dyDescent="0.35">
      <c r="B28" s="11" t="s">
        <v>104</v>
      </c>
      <c r="C28" s="6" t="s">
        <v>78</v>
      </c>
      <c r="D28" s="6" t="s">
        <v>79</v>
      </c>
      <c r="E28" s="6" t="s">
        <v>80</v>
      </c>
      <c r="F28" s="6" t="s">
        <v>81</v>
      </c>
      <c r="G28" s="6" t="s">
        <v>82</v>
      </c>
      <c r="H28" s="6" t="s">
        <v>83</v>
      </c>
      <c r="I28" s="6" t="s">
        <v>84</v>
      </c>
    </row>
    <row r="29" spans="1:11" x14ac:dyDescent="0.35">
      <c r="B29" s="3" t="s">
        <v>105</v>
      </c>
      <c r="C29" s="12">
        <f t="shared" ref="C29:I29" si="7">IFERROR(N(C12)/N(C8),0)</f>
        <v>0.13437499999999999</v>
      </c>
      <c r="D29" s="12">
        <f t="shared" si="7"/>
        <v>0.14000000000000001</v>
      </c>
      <c r="E29" s="12">
        <f t="shared" si="7"/>
        <v>0.14736842105263157</v>
      </c>
      <c r="F29" s="12">
        <f t="shared" si="7"/>
        <v>0.15121951219512195</v>
      </c>
      <c r="G29" s="12">
        <f t="shared" si="7"/>
        <v>0.16404494382022472</v>
      </c>
      <c r="H29" s="12">
        <f t="shared" si="7"/>
        <v>0.17083333333333334</v>
      </c>
      <c r="I29" s="12">
        <f t="shared" si="7"/>
        <v>0.18076923076923077</v>
      </c>
    </row>
    <row r="30" spans="1:11" x14ac:dyDescent="0.35">
      <c r="B30" s="3" t="s">
        <v>106</v>
      </c>
      <c r="C30" s="13">
        <f t="shared" ref="C30:I30" si="8">IFERROR(N(C12)/N(C15),0)</f>
        <v>5.0588235294117645</v>
      </c>
      <c r="D30" s="13">
        <f t="shared" si="8"/>
        <v>5.5681818181818183</v>
      </c>
      <c r="E30" s="13">
        <f t="shared" si="8"/>
        <v>6.2222222222222223</v>
      </c>
      <c r="F30" s="13">
        <f t="shared" si="8"/>
        <v>6.7391304347826084</v>
      </c>
      <c r="G30" s="13">
        <f t="shared" si="8"/>
        <v>7.6842105263157894</v>
      </c>
      <c r="H30" s="13">
        <f t="shared" si="8"/>
        <v>8.3673469387755102</v>
      </c>
      <c r="I30" s="13">
        <f t="shared" si="8"/>
        <v>9.4</v>
      </c>
    </row>
    <row r="31" spans="1:11" x14ac:dyDescent="0.35">
      <c r="B31" s="3" t="s">
        <v>107</v>
      </c>
      <c r="C31" s="13">
        <f t="shared" ref="C31:I31" si="9">IFERROR((N(C12)-N(C19))/N(C15),0)</f>
        <v>3.6470588235294117</v>
      </c>
      <c r="D31" s="13">
        <f t="shared" si="9"/>
        <v>3.8636363636363638</v>
      </c>
      <c r="E31" s="13">
        <f t="shared" si="9"/>
        <v>4.2222222222222223</v>
      </c>
      <c r="F31" s="13">
        <f t="shared" si="9"/>
        <v>4.5652173913043477</v>
      </c>
      <c r="G31" s="13">
        <f t="shared" si="9"/>
        <v>5.3684210526315788</v>
      </c>
      <c r="H31" s="13">
        <f t="shared" si="9"/>
        <v>5.9183673469387754</v>
      </c>
      <c r="I31" s="13">
        <f t="shared" si="9"/>
        <v>6.8</v>
      </c>
    </row>
    <row r="32" spans="1:11" x14ac:dyDescent="0.35">
      <c r="B32" s="3" t="s">
        <v>108</v>
      </c>
      <c r="C32" s="13">
        <f t="shared" ref="C32:I32" si="10">IFERROR(N(C25)/N(C12),0)</f>
        <v>2.6046511627906979</v>
      </c>
      <c r="D32" s="13">
        <f t="shared" si="10"/>
        <v>2.1428571428571428</v>
      </c>
      <c r="E32" s="13">
        <f t="shared" si="10"/>
        <v>1.75</v>
      </c>
      <c r="F32" s="13">
        <f t="shared" si="10"/>
        <v>1.467741935483871</v>
      </c>
      <c r="G32" s="13">
        <f t="shared" si="10"/>
        <v>1.1506849315068493</v>
      </c>
      <c r="H32" s="13">
        <f t="shared" si="10"/>
        <v>0.93902439024390238</v>
      </c>
      <c r="I32" s="13">
        <f t="shared" si="10"/>
        <v>0.74468085106382975</v>
      </c>
    </row>
  </sheetData>
  <mergeCells count="6">
    <mergeCell ref="A1:K1"/>
    <mergeCell ref="A27:K27"/>
    <mergeCell ref="A18:K18"/>
    <mergeCell ref="A4:K4"/>
    <mergeCell ref="A7:K7"/>
    <mergeCell ref="A2:K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0"/>
  <sheetViews>
    <sheetView showGridLines="0" topLeftCell="A6" workbookViewId="0">
      <selection activeCell="A2" sqref="A2:K2"/>
    </sheetView>
  </sheetViews>
  <sheetFormatPr defaultRowHeight="14.5" x14ac:dyDescent="0.35"/>
  <cols>
    <col min="1" max="1" width="2" customWidth="1"/>
    <col min="2" max="2" width="24" customWidth="1"/>
    <col min="3" max="10" width="18" customWidth="1"/>
    <col min="11" max="11" width="10" customWidth="1"/>
  </cols>
  <sheetData>
    <row r="1" spans="1:11" ht="28" customHeight="1" x14ac:dyDescent="0.35">
      <c r="A1" s="47" t="s">
        <v>109</v>
      </c>
      <c r="B1" s="48"/>
      <c r="C1" s="48"/>
      <c r="D1" s="48"/>
      <c r="E1" s="48"/>
      <c r="F1" s="48"/>
      <c r="G1" s="48"/>
      <c r="H1" s="48"/>
      <c r="I1" s="48"/>
      <c r="J1" s="48"/>
      <c r="K1" s="48"/>
    </row>
    <row r="2" spans="1:11" ht="20" customHeight="1" x14ac:dyDescent="0.35">
      <c r="A2" s="49" t="s">
        <v>110</v>
      </c>
      <c r="B2" s="48"/>
      <c r="C2" s="48"/>
      <c r="D2" s="48"/>
      <c r="E2" s="48"/>
      <c r="F2" s="48"/>
      <c r="G2" s="48"/>
      <c r="H2" s="48"/>
      <c r="I2" s="48"/>
      <c r="J2" s="48"/>
      <c r="K2" s="48"/>
    </row>
    <row r="4" spans="1:11" ht="20" customHeight="1" x14ac:dyDescent="0.35">
      <c r="A4" s="50" t="s">
        <v>111</v>
      </c>
      <c r="B4" s="48"/>
      <c r="C4" s="48"/>
      <c r="D4" s="48"/>
      <c r="E4" s="48"/>
      <c r="F4" s="48"/>
      <c r="G4" s="48"/>
      <c r="H4" s="48"/>
      <c r="I4" s="48"/>
      <c r="J4" s="48"/>
      <c r="K4" s="48"/>
    </row>
    <row r="5" spans="1:11" x14ac:dyDescent="0.35">
      <c r="B5" s="2" t="s">
        <v>112</v>
      </c>
      <c r="C5" s="2" t="s">
        <v>113</v>
      </c>
    </row>
    <row r="6" spans="1:11" ht="101.5" x14ac:dyDescent="0.35">
      <c r="B6" s="3" t="s">
        <v>114</v>
      </c>
      <c r="C6" s="3" t="s">
        <v>115</v>
      </c>
    </row>
    <row r="7" spans="1:11" ht="58" x14ac:dyDescent="0.35">
      <c r="B7" s="3" t="s">
        <v>116</v>
      </c>
      <c r="C7" s="3" t="s">
        <v>117</v>
      </c>
    </row>
    <row r="8" spans="1:11" ht="72.5" x14ac:dyDescent="0.35">
      <c r="B8" s="3" t="s">
        <v>118</v>
      </c>
      <c r="C8" s="3" t="s">
        <v>119</v>
      </c>
    </row>
    <row r="10" spans="1:11" ht="20" customHeight="1" x14ac:dyDescent="0.35">
      <c r="A10" s="50" t="s">
        <v>120</v>
      </c>
      <c r="B10" s="48"/>
      <c r="C10" s="48"/>
      <c r="D10" s="48"/>
      <c r="E10" s="48"/>
      <c r="F10" s="48"/>
      <c r="G10" s="48"/>
      <c r="H10" s="48"/>
      <c r="I10" s="48"/>
      <c r="J10" s="48"/>
      <c r="K10" s="48"/>
    </row>
    <row r="11" spans="1:11" x14ac:dyDescent="0.35">
      <c r="B11" s="6" t="s">
        <v>104</v>
      </c>
      <c r="C11" s="6" t="s">
        <v>121</v>
      </c>
      <c r="D11" s="6" t="s">
        <v>122</v>
      </c>
      <c r="E11" s="6" t="s">
        <v>123</v>
      </c>
      <c r="F11" s="6" t="s">
        <v>124</v>
      </c>
      <c r="G11" s="6" t="s">
        <v>125</v>
      </c>
      <c r="H11" s="6" t="s">
        <v>126</v>
      </c>
      <c r="I11" s="6" t="s">
        <v>127</v>
      </c>
      <c r="J11" s="6" t="s">
        <v>128</v>
      </c>
    </row>
    <row r="12" spans="1:11" x14ac:dyDescent="0.35">
      <c r="B12" s="3" t="s">
        <v>129</v>
      </c>
      <c r="C12" s="3" t="s">
        <v>130</v>
      </c>
      <c r="D12" s="7">
        <v>0</v>
      </c>
      <c r="E12" s="7">
        <v>150</v>
      </c>
      <c r="F12" s="7">
        <v>350</v>
      </c>
      <c r="G12" s="7">
        <v>1</v>
      </c>
      <c r="H12" s="7">
        <v>1.3</v>
      </c>
      <c r="I12" s="7">
        <v>0.2</v>
      </c>
      <c r="J12" s="5"/>
    </row>
    <row r="13" spans="1:11" x14ac:dyDescent="0.35">
      <c r="B13" s="3" t="s">
        <v>131</v>
      </c>
      <c r="C13" s="3" t="s">
        <v>132</v>
      </c>
      <c r="D13" s="7">
        <v>5</v>
      </c>
      <c r="E13" s="7">
        <v>12</v>
      </c>
      <c r="F13" s="7">
        <v>18</v>
      </c>
      <c r="G13" s="7">
        <v>1</v>
      </c>
      <c r="H13" s="7">
        <v>1.2</v>
      </c>
      <c r="I13" s="7">
        <v>0.8</v>
      </c>
      <c r="J13" s="5"/>
    </row>
    <row r="14" spans="1:11" x14ac:dyDescent="0.35">
      <c r="B14" s="3" t="s">
        <v>133</v>
      </c>
      <c r="C14" s="3" t="s">
        <v>132</v>
      </c>
      <c r="D14" s="7">
        <v>4</v>
      </c>
      <c r="E14" s="7">
        <v>10</v>
      </c>
      <c r="F14" s="7">
        <v>15</v>
      </c>
      <c r="G14" s="7">
        <v>0.9</v>
      </c>
      <c r="H14" s="7">
        <v>1.2</v>
      </c>
      <c r="I14" s="7">
        <v>1.1000000000000001</v>
      </c>
      <c r="J14" s="5"/>
    </row>
    <row r="15" spans="1:11" x14ac:dyDescent="0.35">
      <c r="B15" s="3" t="s">
        <v>134</v>
      </c>
      <c r="C15" s="3" t="s">
        <v>132</v>
      </c>
      <c r="D15" s="7">
        <v>5</v>
      </c>
      <c r="E15" s="7">
        <v>15</v>
      </c>
      <c r="F15" s="7">
        <v>30</v>
      </c>
      <c r="G15" s="7">
        <v>0.8</v>
      </c>
      <c r="H15" s="7">
        <v>1</v>
      </c>
      <c r="I15" s="7">
        <v>1.4</v>
      </c>
      <c r="J15" s="5"/>
    </row>
    <row r="16" spans="1:11" x14ac:dyDescent="0.35">
      <c r="B16" s="3" t="s">
        <v>135</v>
      </c>
      <c r="C16" s="3" t="s">
        <v>132</v>
      </c>
      <c r="D16" s="7">
        <v>-1</v>
      </c>
      <c r="E16" s="7">
        <v>2</v>
      </c>
      <c r="F16" s="7">
        <v>3</v>
      </c>
      <c r="G16" s="7">
        <v>1</v>
      </c>
      <c r="H16" s="7">
        <v>-0.5</v>
      </c>
      <c r="I16" s="7">
        <v>-1.2</v>
      </c>
      <c r="J16" s="5"/>
    </row>
    <row r="17" spans="2:10" x14ac:dyDescent="0.35">
      <c r="B17" s="3" t="s">
        <v>136</v>
      </c>
      <c r="C17" s="3" t="s">
        <v>137</v>
      </c>
      <c r="D17" s="7">
        <v>10</v>
      </c>
      <c r="E17" s="7">
        <v>20</v>
      </c>
      <c r="F17" s="7">
        <v>35</v>
      </c>
      <c r="G17" s="7">
        <v>0.7</v>
      </c>
      <c r="H17" s="7">
        <v>0.9</v>
      </c>
      <c r="I17" s="7">
        <v>1.4</v>
      </c>
      <c r="J17" s="5"/>
    </row>
    <row r="18" spans="2:10" x14ac:dyDescent="0.35">
      <c r="B18" s="3" t="s">
        <v>138</v>
      </c>
      <c r="C18" s="3" t="s">
        <v>137</v>
      </c>
      <c r="D18" s="7">
        <v>1</v>
      </c>
      <c r="E18" s="7">
        <v>2</v>
      </c>
      <c r="F18" s="7">
        <v>5</v>
      </c>
      <c r="G18" s="7">
        <v>0.8</v>
      </c>
      <c r="H18" s="7">
        <v>1</v>
      </c>
      <c r="I18" s="7">
        <v>1.6</v>
      </c>
      <c r="J18" s="5"/>
    </row>
    <row r="19" spans="2:10" x14ac:dyDescent="0.35">
      <c r="B19" s="3" t="s">
        <v>139</v>
      </c>
      <c r="C19" s="3" t="s">
        <v>132</v>
      </c>
      <c r="D19" s="7">
        <v>3</v>
      </c>
      <c r="E19" s="7">
        <v>8</v>
      </c>
      <c r="F19" s="7">
        <v>15</v>
      </c>
      <c r="G19" s="7">
        <v>0.8</v>
      </c>
      <c r="H19" s="7">
        <v>1</v>
      </c>
      <c r="I19" s="7">
        <v>1.5</v>
      </c>
      <c r="J19" s="5"/>
    </row>
    <row r="20" spans="2:10" ht="29" x14ac:dyDescent="0.35">
      <c r="B20" s="3" t="s">
        <v>140</v>
      </c>
      <c r="C20" s="3" t="s">
        <v>141</v>
      </c>
      <c r="D20" s="7">
        <v>1</v>
      </c>
      <c r="E20" s="7">
        <v>2</v>
      </c>
      <c r="F20" s="7">
        <v>3</v>
      </c>
      <c r="G20" s="7">
        <v>1</v>
      </c>
      <c r="H20" s="7">
        <v>1.4</v>
      </c>
      <c r="I20" s="7">
        <v>0.6</v>
      </c>
      <c r="J20" s="5"/>
    </row>
  </sheetData>
  <mergeCells count="4">
    <mergeCell ref="A2:K2"/>
    <mergeCell ref="A1:K1"/>
    <mergeCell ref="A4:K4"/>
    <mergeCell ref="A10:K10"/>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0"/>
  <sheetViews>
    <sheetView showGridLines="0" workbookViewId="0">
      <pane xSplit="1" ySplit="5" topLeftCell="C15" activePane="bottomRight" state="frozen"/>
      <selection pane="topRight"/>
      <selection pane="bottomLeft"/>
      <selection pane="bottomRight" activeCell="I12" sqref="I12"/>
    </sheetView>
  </sheetViews>
  <sheetFormatPr defaultColWidth="8.90625" defaultRowHeight="14.5" x14ac:dyDescent="0.35"/>
  <cols>
    <col min="1" max="1" width="2" style="20" customWidth="1"/>
    <col min="2" max="2" width="36" style="20" customWidth="1"/>
    <col min="3" max="6" width="22" style="20" customWidth="1"/>
    <col min="7" max="7" width="24" style="20" customWidth="1"/>
    <col min="8" max="10" width="22" style="20" customWidth="1"/>
    <col min="11" max="11" width="10" style="20" customWidth="1"/>
    <col min="12" max="16384" width="8.90625" style="20"/>
  </cols>
  <sheetData>
    <row r="1" spans="1:11" ht="28" customHeight="1" x14ac:dyDescent="0.35">
      <c r="A1" s="45" t="s">
        <v>142</v>
      </c>
      <c r="B1" s="44"/>
      <c r="C1" s="44"/>
      <c r="D1" s="44"/>
      <c r="E1" s="44"/>
      <c r="F1" s="44"/>
      <c r="G1" s="44"/>
      <c r="H1" s="44"/>
      <c r="I1" s="44"/>
      <c r="J1" s="44"/>
      <c r="K1" s="44"/>
    </row>
    <row r="2" spans="1:11" ht="20" customHeight="1" x14ac:dyDescent="0.35">
      <c r="A2" s="43" t="s">
        <v>143</v>
      </c>
      <c r="B2" s="44"/>
      <c r="C2" s="44"/>
      <c r="D2" s="44"/>
      <c r="E2" s="44"/>
      <c r="F2" s="44"/>
      <c r="G2" s="44"/>
      <c r="H2" s="44"/>
      <c r="I2" s="44"/>
      <c r="J2" s="44"/>
      <c r="K2" s="44"/>
    </row>
    <row r="4" spans="1:11" ht="20" customHeight="1" x14ac:dyDescent="0.35">
      <c r="A4" s="46" t="s">
        <v>144</v>
      </c>
      <c r="B4" s="44"/>
      <c r="C4" s="44"/>
      <c r="D4" s="44"/>
      <c r="E4" s="44"/>
      <c r="F4" s="44"/>
      <c r="G4" s="44"/>
      <c r="H4" s="44"/>
      <c r="I4" s="44"/>
      <c r="J4" s="44"/>
      <c r="K4" s="44"/>
    </row>
    <row r="5" spans="1:11" x14ac:dyDescent="0.35">
      <c r="B5" s="21" t="s">
        <v>145</v>
      </c>
      <c r="C5" s="22" t="s">
        <v>116</v>
      </c>
    </row>
    <row r="6" spans="1:11" x14ac:dyDescent="0.35">
      <c r="B6" s="21" t="s">
        <v>146</v>
      </c>
      <c r="C6" s="22" t="s">
        <v>123</v>
      </c>
    </row>
    <row r="7" spans="1:11" x14ac:dyDescent="0.35">
      <c r="B7" s="21" t="s">
        <v>147</v>
      </c>
      <c r="C7" s="22" t="s">
        <v>83</v>
      </c>
    </row>
    <row r="10" spans="1:11" ht="20" customHeight="1" x14ac:dyDescent="0.35">
      <c r="A10" s="46" t="s">
        <v>148</v>
      </c>
      <c r="B10" s="44"/>
      <c r="C10" s="44"/>
      <c r="D10" s="44"/>
      <c r="E10" s="44"/>
      <c r="F10" s="44"/>
      <c r="G10" s="44"/>
      <c r="H10" s="44"/>
      <c r="I10" s="44"/>
      <c r="J10" s="44"/>
      <c r="K10" s="44"/>
    </row>
    <row r="11" spans="1:11" x14ac:dyDescent="0.35">
      <c r="B11" s="23" t="s">
        <v>104</v>
      </c>
      <c r="C11" s="23" t="s">
        <v>121</v>
      </c>
      <c r="D11" s="23" t="s">
        <v>149</v>
      </c>
      <c r="E11" s="23" t="s">
        <v>150</v>
      </c>
      <c r="F11" s="23" t="s">
        <v>151</v>
      </c>
      <c r="G11" s="23" t="s">
        <v>128</v>
      </c>
    </row>
    <row r="12" spans="1:11" ht="72.5" x14ac:dyDescent="0.35">
      <c r="B12" s="21" t="s">
        <v>129</v>
      </c>
      <c r="C12" s="21" t="s">
        <v>130</v>
      </c>
      <c r="D12" s="24">
        <f>IF($C$6="Short term (1–3y)",Scenario_Library!D12,IF($C$6="Medium (4–10y)",Scenario_Library!E12,Scenario_Library!F12))</f>
        <v>150</v>
      </c>
      <c r="E12" s="24">
        <f>IF($C$5="Orderly Transition",Scenario_Library!G12,IF($C$5="Disorderly Transition",Scenario_Library!H12,Scenario_Library!I12))</f>
        <v>1.3</v>
      </c>
      <c r="F12" s="25">
        <f>N(D12)*N(E12)</f>
        <v>195</v>
      </c>
      <c r="G12" s="22" t="s">
        <v>152</v>
      </c>
    </row>
    <row r="13" spans="1:11" ht="58" x14ac:dyDescent="0.35">
      <c r="B13" s="21" t="s">
        <v>131</v>
      </c>
      <c r="C13" s="21" t="s">
        <v>132</v>
      </c>
      <c r="D13" s="26">
        <f>IF($C$6="Short term (1–3y)",Scenario_Library!D13,IF($C$6="Medium (4–10y)",Scenario_Library!E13,Scenario_Library!F13))</f>
        <v>12</v>
      </c>
      <c r="E13" s="26">
        <f>IF($C$5="Orderly Transition",Scenario_Library!G13,IF($C$5="Disorderly Transition",Scenario_Library!H13,Scenario_Library!I13))</f>
        <v>1.2</v>
      </c>
      <c r="F13" s="27">
        <f t="shared" ref="F13:F20" si="0">N(D13)*N(E13)</f>
        <v>14.399999999999999</v>
      </c>
      <c r="G13" s="22" t="s">
        <v>153</v>
      </c>
    </row>
    <row r="14" spans="1:11" ht="72.5" x14ac:dyDescent="0.35">
      <c r="B14" s="21" t="s">
        <v>133</v>
      </c>
      <c r="C14" s="21" t="s">
        <v>132</v>
      </c>
      <c r="D14" s="26">
        <f>IF($C$6="Short term (1–3y)",Scenario_Library!D14,IF($C$6="Medium (4–10y)",Scenario_Library!E14,Scenario_Library!F14))</f>
        <v>10</v>
      </c>
      <c r="E14" s="26">
        <f>IF($C$5="Orderly Transition",Scenario_Library!G14,IF($C$5="Disorderly Transition",Scenario_Library!H14,Scenario_Library!I14))</f>
        <v>1.2</v>
      </c>
      <c r="F14" s="27">
        <f t="shared" si="0"/>
        <v>12</v>
      </c>
      <c r="G14" s="22" t="s">
        <v>154</v>
      </c>
    </row>
    <row r="15" spans="1:11" ht="72.5" x14ac:dyDescent="0.35">
      <c r="B15" s="21" t="s">
        <v>134</v>
      </c>
      <c r="C15" s="21" t="s">
        <v>132</v>
      </c>
      <c r="D15" s="26">
        <f>IF($C$6="Short term (1–3y)",Scenario_Library!D15,IF($C$6="Medium (4–10y)",Scenario_Library!E15,Scenario_Library!F15))</f>
        <v>15</v>
      </c>
      <c r="E15" s="26">
        <f>IF($C$5="Orderly Transition",Scenario_Library!G15,IF($C$5="Disorderly Transition",Scenario_Library!H15,Scenario_Library!I15))</f>
        <v>1</v>
      </c>
      <c r="F15" s="27">
        <f t="shared" si="0"/>
        <v>15</v>
      </c>
      <c r="G15" s="22" t="s">
        <v>155</v>
      </c>
    </row>
    <row r="16" spans="1:11" ht="72.5" x14ac:dyDescent="0.35">
      <c r="B16" s="21" t="s">
        <v>135</v>
      </c>
      <c r="C16" s="21" t="s">
        <v>132</v>
      </c>
      <c r="D16" s="26">
        <f>IF($C$6="Short term (1–3y)",Scenario_Library!D16,IF($C$6="Medium (4–10y)",Scenario_Library!E16,Scenario_Library!F16))</f>
        <v>2</v>
      </c>
      <c r="E16" s="26">
        <f>IF($C$5="Orderly Transition",Scenario_Library!G16,IF($C$5="Disorderly Transition",Scenario_Library!H16,Scenario_Library!I16))</f>
        <v>-0.5</v>
      </c>
      <c r="F16" s="27">
        <f t="shared" si="0"/>
        <v>-1</v>
      </c>
      <c r="G16" s="22" t="s">
        <v>156</v>
      </c>
    </row>
    <row r="17" spans="2:7" ht="87" x14ac:dyDescent="0.35">
      <c r="B17" s="21" t="s">
        <v>136</v>
      </c>
      <c r="C17" s="21" t="s">
        <v>137</v>
      </c>
      <c r="D17" s="26">
        <f>IF($C$6="Short term (1–3y)",Scenario_Library!D17,IF($C$6="Medium (4–10y)",Scenario_Library!E17,Scenario_Library!F17))</f>
        <v>20</v>
      </c>
      <c r="E17" s="26">
        <f>IF($C$5="Orderly Transition",Scenario_Library!G17,IF($C$5="Disorderly Transition",Scenario_Library!H17,Scenario_Library!I17))</f>
        <v>0.9</v>
      </c>
      <c r="F17" s="27">
        <f t="shared" si="0"/>
        <v>18</v>
      </c>
      <c r="G17" s="22" t="s">
        <v>157</v>
      </c>
    </row>
    <row r="18" spans="2:7" ht="87" x14ac:dyDescent="0.35">
      <c r="B18" s="21" t="s">
        <v>138</v>
      </c>
      <c r="C18" s="21" t="s">
        <v>137</v>
      </c>
      <c r="D18" s="26">
        <f>IF($C$6="Short term (1–3y)",Scenario_Library!D18,IF($C$6="Medium (4–10y)",Scenario_Library!E18,Scenario_Library!F18))</f>
        <v>2</v>
      </c>
      <c r="E18" s="26">
        <f>IF($C$5="Orderly Transition",Scenario_Library!G18,IF($C$5="Disorderly Transition",Scenario_Library!H18,Scenario_Library!I18))</f>
        <v>1</v>
      </c>
      <c r="F18" s="27">
        <f t="shared" si="0"/>
        <v>2</v>
      </c>
      <c r="G18" s="22" t="s">
        <v>158</v>
      </c>
    </row>
    <row r="19" spans="2:7" ht="58" x14ac:dyDescent="0.35">
      <c r="B19" s="21" t="s">
        <v>139</v>
      </c>
      <c r="C19" s="21" t="s">
        <v>132</v>
      </c>
      <c r="D19" s="26">
        <f>IF($C$6="Short term (1–3y)",Scenario_Library!D19,IF($C$6="Medium (4–10y)",Scenario_Library!E19,Scenario_Library!F19))</f>
        <v>8</v>
      </c>
      <c r="E19" s="26">
        <f>IF($C$5="Orderly Transition",Scenario_Library!G19,IF($C$5="Disorderly Transition",Scenario_Library!H19,Scenario_Library!I19))</f>
        <v>1</v>
      </c>
      <c r="F19" s="27">
        <f t="shared" si="0"/>
        <v>8</v>
      </c>
      <c r="G19" s="22" t="s">
        <v>159</v>
      </c>
    </row>
    <row r="20" spans="2:7" ht="72.5" x14ac:dyDescent="0.35">
      <c r="B20" s="21" t="s">
        <v>140</v>
      </c>
      <c r="C20" s="21" t="s">
        <v>141</v>
      </c>
      <c r="D20" s="26">
        <f>IF($C$6="Short term (1–3y)",Scenario_Library!D20,IF($C$6="Medium (4–10y)",Scenario_Library!E20,Scenario_Library!F20))</f>
        <v>2</v>
      </c>
      <c r="E20" s="26">
        <f>IF($C$5="Orderly Transition",Scenario_Library!G20,IF($C$5="Disorderly Transition",Scenario_Library!H20,Scenario_Library!I20))</f>
        <v>1.4</v>
      </c>
      <c r="F20" s="27">
        <f t="shared" si="0"/>
        <v>2.8</v>
      </c>
      <c r="G20" s="22" t="s">
        <v>160</v>
      </c>
    </row>
  </sheetData>
  <mergeCells count="4">
    <mergeCell ref="A2:K2"/>
    <mergeCell ref="A1:K1"/>
    <mergeCell ref="A4:K4"/>
    <mergeCell ref="A10:K10"/>
  </mergeCells>
  <conditionalFormatting sqref="G12:G20">
    <cfRule type="expression" dxfId="0" priority="1">
      <formula>LEN(TRIM(G12))=0</formula>
    </cfRule>
  </conditionalFormatting>
  <dataValidations count="3">
    <dataValidation type="list" sqref="C5" xr:uid="{00000000-0002-0000-0400-000000000000}">
      <formula1>"Orderly Transition,Disorderly Transition,Hot House World"</formula1>
    </dataValidation>
    <dataValidation type="list" sqref="C6" xr:uid="{00000000-0002-0000-0400-000001000000}">
      <formula1>"Short term (1–3y),Medium (4–10y),Long (10+y)"</formula1>
    </dataValidation>
    <dataValidation type="list" sqref="C7" xr:uid="{00000000-0002-0000-0400-000002000000}">
      <formula1>"FY0 Baseline,FY+1,FY+2,FY+3"</formula1>
    </dataValidation>
  </dataValidation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5"/>
  <sheetViews>
    <sheetView showGridLines="0" workbookViewId="0">
      <selection activeCell="B9" sqref="A1:L9"/>
    </sheetView>
  </sheetViews>
  <sheetFormatPr defaultRowHeight="14.5" x14ac:dyDescent="0.35"/>
  <cols>
    <col min="1" max="1" width="2" customWidth="1"/>
    <col min="2" max="2" width="12" customWidth="1"/>
    <col min="3" max="3" width="20" customWidth="1"/>
    <col min="4" max="4" width="16" customWidth="1"/>
    <col min="5" max="5" width="18" customWidth="1"/>
    <col min="6" max="7" width="16" customWidth="1"/>
    <col min="8" max="10" width="18" customWidth="1"/>
    <col min="11" max="11" width="22" customWidth="1"/>
    <col min="12" max="12" width="22.54296875" customWidth="1"/>
  </cols>
  <sheetData>
    <row r="1" spans="1:12" ht="21" x14ac:dyDescent="0.35">
      <c r="A1" s="47" t="s">
        <v>161</v>
      </c>
      <c r="B1" s="48"/>
      <c r="C1" s="48"/>
      <c r="D1" s="48"/>
      <c r="E1" s="48"/>
      <c r="F1" s="48"/>
      <c r="G1" s="48"/>
      <c r="H1" s="48"/>
      <c r="I1" s="48"/>
      <c r="J1" s="48"/>
      <c r="K1" s="48"/>
    </row>
    <row r="2" spans="1:12" x14ac:dyDescent="0.35">
      <c r="A2" s="49" t="s">
        <v>162</v>
      </c>
      <c r="B2" s="48"/>
      <c r="C2" s="48"/>
      <c r="D2" s="48"/>
      <c r="E2" s="48"/>
      <c r="F2" s="48"/>
      <c r="G2" s="48"/>
      <c r="H2" s="48"/>
      <c r="I2" s="48"/>
      <c r="J2" s="48"/>
      <c r="K2" s="48"/>
    </row>
    <row r="4" spans="1:12" ht="17" x14ac:dyDescent="0.35">
      <c r="A4" s="51" t="s">
        <v>163</v>
      </c>
      <c r="B4" s="44"/>
      <c r="C4" s="44"/>
      <c r="D4" s="44"/>
      <c r="E4" s="44"/>
      <c r="F4" s="44"/>
      <c r="G4" s="44"/>
      <c r="H4" s="44"/>
      <c r="I4" s="44"/>
      <c r="J4" s="44"/>
      <c r="K4" s="44"/>
      <c r="L4" s="20"/>
    </row>
    <row r="5" spans="1:12" ht="29" x14ac:dyDescent="0.35">
      <c r="A5" s="20"/>
      <c r="B5" s="23" t="s">
        <v>53</v>
      </c>
      <c r="C5" s="23" t="s">
        <v>164</v>
      </c>
      <c r="D5" s="23" t="s">
        <v>165</v>
      </c>
      <c r="E5" s="23" t="s">
        <v>166</v>
      </c>
      <c r="F5" s="23" t="s">
        <v>167</v>
      </c>
      <c r="G5" s="23" t="s">
        <v>168</v>
      </c>
      <c r="H5" s="23" t="s">
        <v>169</v>
      </c>
      <c r="I5" s="23" t="s">
        <v>170</v>
      </c>
      <c r="J5" s="23" t="s">
        <v>171</v>
      </c>
      <c r="K5" s="23" t="s">
        <v>172</v>
      </c>
      <c r="L5" s="23" t="s">
        <v>63</v>
      </c>
    </row>
    <row r="6" spans="1:12" ht="43.5" x14ac:dyDescent="0.35">
      <c r="A6" s="20"/>
      <c r="B6" s="22" t="s">
        <v>64</v>
      </c>
      <c r="C6" s="22" t="s">
        <v>173</v>
      </c>
      <c r="D6" s="28">
        <v>4</v>
      </c>
      <c r="E6" s="28">
        <v>3</v>
      </c>
      <c r="F6" s="28">
        <v>3</v>
      </c>
      <c r="G6" s="24">
        <f>MAX(0,MIN(10,N(D6)+N(E6)-N(F6)))</f>
        <v>4</v>
      </c>
      <c r="H6" s="28">
        <v>4</v>
      </c>
      <c r="I6" s="29">
        <v>120000</v>
      </c>
      <c r="J6" s="28" t="s">
        <v>174</v>
      </c>
      <c r="K6" s="22" t="s">
        <v>175</v>
      </c>
      <c r="L6" s="22" t="s">
        <v>176</v>
      </c>
    </row>
    <row r="7" spans="1:12" ht="43.5" x14ac:dyDescent="0.35">
      <c r="A7" s="20"/>
      <c r="B7" s="22" t="s">
        <v>64</v>
      </c>
      <c r="C7" s="22" t="s">
        <v>177</v>
      </c>
      <c r="D7" s="28">
        <v>3</v>
      </c>
      <c r="E7" s="28">
        <v>3</v>
      </c>
      <c r="F7" s="28">
        <v>2</v>
      </c>
      <c r="G7" s="24">
        <f t="shared" ref="G7:G35" si="0">MAX(0,MIN(10,N(D7)+N(E7)-N(F7)))</f>
        <v>4</v>
      </c>
      <c r="H7" s="28">
        <v>2</v>
      </c>
      <c r="I7" s="29">
        <v>150000</v>
      </c>
      <c r="J7" s="28" t="s">
        <v>174</v>
      </c>
      <c r="K7" s="22" t="s">
        <v>178</v>
      </c>
      <c r="L7" s="22" t="s">
        <v>179</v>
      </c>
    </row>
    <row r="8" spans="1:12" ht="43.5" x14ac:dyDescent="0.35">
      <c r="A8" s="20"/>
      <c r="B8" s="22" t="s">
        <v>69</v>
      </c>
      <c r="C8" s="22" t="s">
        <v>180</v>
      </c>
      <c r="D8" s="28">
        <v>4</v>
      </c>
      <c r="E8" s="28">
        <v>2</v>
      </c>
      <c r="F8" s="28">
        <v>3</v>
      </c>
      <c r="G8" s="24">
        <f t="shared" si="0"/>
        <v>3</v>
      </c>
      <c r="H8" s="28">
        <v>1</v>
      </c>
      <c r="I8" s="29">
        <v>30000</v>
      </c>
      <c r="J8" s="28" t="s">
        <v>181</v>
      </c>
      <c r="K8" s="22" t="s">
        <v>182</v>
      </c>
      <c r="L8" s="22" t="s">
        <v>183</v>
      </c>
    </row>
    <row r="9" spans="1:12" ht="43.5" x14ac:dyDescent="0.35">
      <c r="A9" s="20"/>
      <c r="B9" s="22" t="s">
        <v>69</v>
      </c>
      <c r="C9" s="22" t="s">
        <v>184</v>
      </c>
      <c r="D9" s="28">
        <v>2</v>
      </c>
      <c r="E9" s="28">
        <v>2</v>
      </c>
      <c r="F9" s="28">
        <v>2</v>
      </c>
      <c r="G9" s="24">
        <f t="shared" si="0"/>
        <v>2</v>
      </c>
      <c r="H9" s="28">
        <v>1</v>
      </c>
      <c r="I9" s="29">
        <v>20000</v>
      </c>
      <c r="J9" s="28" t="s">
        <v>181</v>
      </c>
      <c r="K9" s="22" t="s">
        <v>185</v>
      </c>
      <c r="L9" s="22" t="s">
        <v>186</v>
      </c>
    </row>
    <row r="10" spans="1:12" x14ac:dyDescent="0.35">
      <c r="A10" s="20"/>
      <c r="B10" s="22"/>
      <c r="C10" s="22"/>
      <c r="D10" s="28"/>
      <c r="E10" s="28"/>
      <c r="F10" s="28"/>
      <c r="G10" s="24">
        <f t="shared" si="0"/>
        <v>0</v>
      </c>
      <c r="H10" s="28"/>
      <c r="I10" s="28"/>
      <c r="J10" s="28"/>
      <c r="K10" s="22"/>
      <c r="L10" s="22"/>
    </row>
    <row r="11" spans="1:12" x14ac:dyDescent="0.35">
      <c r="A11" s="20"/>
      <c r="B11" s="22"/>
      <c r="C11" s="22"/>
      <c r="D11" s="28"/>
      <c r="E11" s="28"/>
      <c r="F11" s="28"/>
      <c r="G11" s="24">
        <f t="shared" si="0"/>
        <v>0</v>
      </c>
      <c r="H11" s="28"/>
      <c r="I11" s="28"/>
      <c r="J11" s="28"/>
      <c r="K11" s="22"/>
      <c r="L11" s="22"/>
    </row>
    <row r="12" spans="1:12" x14ac:dyDescent="0.35">
      <c r="A12" s="20"/>
      <c r="B12" s="22"/>
      <c r="C12" s="22"/>
      <c r="D12" s="28"/>
      <c r="E12" s="28"/>
      <c r="F12" s="28"/>
      <c r="G12" s="24">
        <f t="shared" si="0"/>
        <v>0</v>
      </c>
      <c r="H12" s="28"/>
      <c r="I12" s="28"/>
      <c r="J12" s="28"/>
      <c r="K12" s="22"/>
      <c r="L12" s="22"/>
    </row>
    <row r="13" spans="1:12" x14ac:dyDescent="0.35">
      <c r="A13" s="20"/>
      <c r="B13" s="22"/>
      <c r="C13" s="22"/>
      <c r="D13" s="28"/>
      <c r="E13" s="28"/>
      <c r="F13" s="28"/>
      <c r="G13" s="24">
        <f t="shared" si="0"/>
        <v>0</v>
      </c>
      <c r="H13" s="28"/>
      <c r="I13" s="28"/>
      <c r="J13" s="28"/>
      <c r="K13" s="22"/>
      <c r="L13" s="22"/>
    </row>
    <row r="14" spans="1:12" x14ac:dyDescent="0.35">
      <c r="A14" s="20"/>
      <c r="B14" s="22"/>
      <c r="C14" s="22"/>
      <c r="D14" s="28"/>
      <c r="E14" s="28"/>
      <c r="F14" s="28"/>
      <c r="G14" s="24">
        <f t="shared" si="0"/>
        <v>0</v>
      </c>
      <c r="H14" s="28"/>
      <c r="I14" s="28"/>
      <c r="J14" s="28"/>
      <c r="K14" s="22"/>
      <c r="L14" s="22"/>
    </row>
    <row r="15" spans="1:12" x14ac:dyDescent="0.35">
      <c r="A15" s="20"/>
      <c r="B15" s="22"/>
      <c r="C15" s="22"/>
      <c r="D15" s="28"/>
      <c r="E15" s="28"/>
      <c r="F15" s="28"/>
      <c r="G15" s="24">
        <f t="shared" si="0"/>
        <v>0</v>
      </c>
      <c r="H15" s="28"/>
      <c r="I15" s="28"/>
      <c r="J15" s="28"/>
      <c r="K15" s="22"/>
      <c r="L15" s="22"/>
    </row>
    <row r="16" spans="1:12" x14ac:dyDescent="0.35">
      <c r="A16" s="20"/>
      <c r="B16" s="22"/>
      <c r="C16" s="22"/>
      <c r="D16" s="28"/>
      <c r="E16" s="28"/>
      <c r="F16" s="28"/>
      <c r="G16" s="24">
        <f t="shared" si="0"/>
        <v>0</v>
      </c>
      <c r="H16" s="28"/>
      <c r="I16" s="28"/>
      <c r="J16" s="28"/>
      <c r="K16" s="22"/>
      <c r="L16" s="22"/>
    </row>
    <row r="17" spans="1:12" x14ac:dyDescent="0.35">
      <c r="A17" s="20"/>
      <c r="B17" s="22"/>
      <c r="C17" s="22"/>
      <c r="D17" s="28"/>
      <c r="E17" s="28"/>
      <c r="F17" s="28"/>
      <c r="G17" s="24">
        <f t="shared" si="0"/>
        <v>0</v>
      </c>
      <c r="H17" s="28"/>
      <c r="I17" s="28"/>
      <c r="J17" s="28"/>
      <c r="K17" s="22"/>
      <c r="L17" s="22"/>
    </row>
    <row r="18" spans="1:12" x14ac:dyDescent="0.35">
      <c r="A18" s="20"/>
      <c r="B18" s="22"/>
      <c r="C18" s="22"/>
      <c r="D18" s="28"/>
      <c r="E18" s="28"/>
      <c r="F18" s="28"/>
      <c r="G18" s="24">
        <f t="shared" si="0"/>
        <v>0</v>
      </c>
      <c r="H18" s="28"/>
      <c r="I18" s="28"/>
      <c r="J18" s="28"/>
      <c r="K18" s="22"/>
      <c r="L18" s="22"/>
    </row>
    <row r="19" spans="1:12" x14ac:dyDescent="0.35">
      <c r="A19" s="20"/>
      <c r="B19" s="22"/>
      <c r="C19" s="22"/>
      <c r="D19" s="28"/>
      <c r="E19" s="28"/>
      <c r="F19" s="28"/>
      <c r="G19" s="24">
        <f t="shared" si="0"/>
        <v>0</v>
      </c>
      <c r="H19" s="28"/>
      <c r="I19" s="28"/>
      <c r="J19" s="28"/>
      <c r="K19" s="22"/>
      <c r="L19" s="22"/>
    </row>
    <row r="20" spans="1:12" x14ac:dyDescent="0.35">
      <c r="A20" s="20"/>
      <c r="B20" s="22"/>
      <c r="C20" s="22"/>
      <c r="D20" s="28"/>
      <c r="E20" s="28"/>
      <c r="F20" s="28"/>
      <c r="G20" s="24">
        <f t="shared" si="0"/>
        <v>0</v>
      </c>
      <c r="H20" s="28"/>
      <c r="I20" s="28"/>
      <c r="J20" s="28"/>
      <c r="K20" s="22"/>
      <c r="L20" s="22"/>
    </row>
    <row r="21" spans="1:12" x14ac:dyDescent="0.35">
      <c r="A21" s="20"/>
      <c r="B21" s="22"/>
      <c r="C21" s="22"/>
      <c r="D21" s="28"/>
      <c r="E21" s="28"/>
      <c r="F21" s="28"/>
      <c r="G21" s="24">
        <f t="shared" si="0"/>
        <v>0</v>
      </c>
      <c r="H21" s="28"/>
      <c r="I21" s="28"/>
      <c r="J21" s="28"/>
      <c r="K21" s="22"/>
      <c r="L21" s="22"/>
    </row>
    <row r="22" spans="1:12" x14ac:dyDescent="0.35">
      <c r="A22" s="20"/>
      <c r="B22" s="22"/>
      <c r="C22" s="22"/>
      <c r="D22" s="28"/>
      <c r="E22" s="28"/>
      <c r="F22" s="28"/>
      <c r="G22" s="24">
        <f t="shared" si="0"/>
        <v>0</v>
      </c>
      <c r="H22" s="28"/>
      <c r="I22" s="28"/>
      <c r="J22" s="28"/>
      <c r="K22" s="22"/>
      <c r="L22" s="22"/>
    </row>
    <row r="23" spans="1:12" x14ac:dyDescent="0.35">
      <c r="A23" s="20"/>
      <c r="B23" s="22"/>
      <c r="C23" s="22"/>
      <c r="D23" s="28"/>
      <c r="E23" s="28"/>
      <c r="F23" s="28"/>
      <c r="G23" s="24">
        <f t="shared" si="0"/>
        <v>0</v>
      </c>
      <c r="H23" s="28"/>
      <c r="I23" s="28"/>
      <c r="J23" s="28"/>
      <c r="K23" s="22"/>
      <c r="L23" s="22"/>
    </row>
    <row r="24" spans="1:12" x14ac:dyDescent="0.35">
      <c r="A24" s="20"/>
      <c r="B24" s="22"/>
      <c r="C24" s="22"/>
      <c r="D24" s="28"/>
      <c r="E24" s="28"/>
      <c r="F24" s="28"/>
      <c r="G24" s="24">
        <f t="shared" si="0"/>
        <v>0</v>
      </c>
      <c r="H24" s="28"/>
      <c r="I24" s="28"/>
      <c r="J24" s="28"/>
      <c r="K24" s="22"/>
      <c r="L24" s="22"/>
    </row>
    <row r="25" spans="1:12" x14ac:dyDescent="0.35">
      <c r="A25" s="20"/>
      <c r="B25" s="22"/>
      <c r="C25" s="22"/>
      <c r="D25" s="28"/>
      <c r="E25" s="28"/>
      <c r="F25" s="28"/>
      <c r="G25" s="24">
        <f t="shared" si="0"/>
        <v>0</v>
      </c>
      <c r="H25" s="28"/>
      <c r="I25" s="28"/>
      <c r="J25" s="28"/>
      <c r="K25" s="22"/>
      <c r="L25" s="22"/>
    </row>
    <row r="26" spans="1:12" x14ac:dyDescent="0.35">
      <c r="A26" s="20"/>
      <c r="B26" s="22"/>
      <c r="C26" s="22"/>
      <c r="D26" s="28"/>
      <c r="E26" s="28"/>
      <c r="F26" s="28"/>
      <c r="G26" s="24">
        <f t="shared" si="0"/>
        <v>0</v>
      </c>
      <c r="H26" s="28"/>
      <c r="I26" s="28"/>
      <c r="J26" s="28"/>
      <c r="K26" s="22"/>
      <c r="L26" s="22"/>
    </row>
    <row r="27" spans="1:12" x14ac:dyDescent="0.35">
      <c r="A27" s="20"/>
      <c r="B27" s="22"/>
      <c r="C27" s="22"/>
      <c r="D27" s="28"/>
      <c r="E27" s="28"/>
      <c r="F27" s="28"/>
      <c r="G27" s="24">
        <f t="shared" si="0"/>
        <v>0</v>
      </c>
      <c r="H27" s="28"/>
      <c r="I27" s="28"/>
      <c r="J27" s="28"/>
      <c r="K27" s="22"/>
      <c r="L27" s="22"/>
    </row>
    <row r="28" spans="1:12" x14ac:dyDescent="0.35">
      <c r="A28" s="20"/>
      <c r="B28" s="22"/>
      <c r="C28" s="22"/>
      <c r="D28" s="28"/>
      <c r="E28" s="28"/>
      <c r="F28" s="28"/>
      <c r="G28" s="24">
        <f t="shared" si="0"/>
        <v>0</v>
      </c>
      <c r="H28" s="28"/>
      <c r="I28" s="28"/>
      <c r="J28" s="28"/>
      <c r="K28" s="22"/>
      <c r="L28" s="22"/>
    </row>
    <row r="29" spans="1:12" x14ac:dyDescent="0.35">
      <c r="A29" s="20"/>
      <c r="B29" s="22"/>
      <c r="C29" s="22"/>
      <c r="D29" s="28"/>
      <c r="E29" s="28"/>
      <c r="F29" s="28"/>
      <c r="G29" s="24">
        <f t="shared" si="0"/>
        <v>0</v>
      </c>
      <c r="H29" s="28"/>
      <c r="I29" s="28"/>
      <c r="J29" s="28"/>
      <c r="K29" s="22"/>
      <c r="L29" s="22"/>
    </row>
    <row r="30" spans="1:12" x14ac:dyDescent="0.35">
      <c r="A30" s="20"/>
      <c r="B30" s="22"/>
      <c r="C30" s="22"/>
      <c r="D30" s="28"/>
      <c r="E30" s="28"/>
      <c r="F30" s="28"/>
      <c r="G30" s="24">
        <f t="shared" si="0"/>
        <v>0</v>
      </c>
      <c r="H30" s="28"/>
      <c r="I30" s="28"/>
      <c r="J30" s="28"/>
      <c r="K30" s="22"/>
      <c r="L30" s="22"/>
    </row>
    <row r="31" spans="1:12" x14ac:dyDescent="0.35">
      <c r="A31" s="20"/>
      <c r="B31" s="22"/>
      <c r="C31" s="22"/>
      <c r="D31" s="28"/>
      <c r="E31" s="28"/>
      <c r="F31" s="28"/>
      <c r="G31" s="24">
        <f t="shared" si="0"/>
        <v>0</v>
      </c>
      <c r="H31" s="28"/>
      <c r="I31" s="28"/>
      <c r="J31" s="28"/>
      <c r="K31" s="22"/>
      <c r="L31" s="22"/>
    </row>
    <row r="32" spans="1:12" x14ac:dyDescent="0.35">
      <c r="A32" s="20"/>
      <c r="B32" s="22"/>
      <c r="C32" s="22"/>
      <c r="D32" s="28"/>
      <c r="E32" s="28"/>
      <c r="F32" s="28"/>
      <c r="G32" s="24">
        <f t="shared" si="0"/>
        <v>0</v>
      </c>
      <c r="H32" s="28"/>
      <c r="I32" s="28"/>
      <c r="J32" s="28"/>
      <c r="K32" s="22"/>
      <c r="L32" s="22"/>
    </row>
    <row r="33" spans="1:12" x14ac:dyDescent="0.35">
      <c r="A33" s="20"/>
      <c r="B33" s="22"/>
      <c r="C33" s="22"/>
      <c r="D33" s="28"/>
      <c r="E33" s="28"/>
      <c r="F33" s="28"/>
      <c r="G33" s="24">
        <f t="shared" si="0"/>
        <v>0</v>
      </c>
      <c r="H33" s="28"/>
      <c r="I33" s="28"/>
      <c r="J33" s="28"/>
      <c r="K33" s="22"/>
      <c r="L33" s="22"/>
    </row>
    <row r="34" spans="1:12" x14ac:dyDescent="0.35">
      <c r="A34" s="20"/>
      <c r="B34" s="22"/>
      <c r="C34" s="22"/>
      <c r="D34" s="28"/>
      <c r="E34" s="28"/>
      <c r="F34" s="28"/>
      <c r="G34" s="24">
        <f t="shared" si="0"/>
        <v>0</v>
      </c>
      <c r="H34" s="28"/>
      <c r="I34" s="28"/>
      <c r="J34" s="28"/>
      <c r="K34" s="22"/>
      <c r="L34" s="22"/>
    </row>
    <row r="35" spans="1:12" x14ac:dyDescent="0.35">
      <c r="A35" s="20"/>
      <c r="B35" s="22"/>
      <c r="C35" s="22"/>
      <c r="D35" s="28"/>
      <c r="E35" s="28"/>
      <c r="F35" s="28"/>
      <c r="G35" s="24">
        <f t="shared" si="0"/>
        <v>0</v>
      </c>
      <c r="H35" s="28"/>
      <c r="I35" s="28"/>
      <c r="J35" s="28"/>
      <c r="K35" s="22"/>
      <c r="L35" s="22"/>
    </row>
  </sheetData>
  <mergeCells count="3">
    <mergeCell ref="A2:K2"/>
    <mergeCell ref="A1:K1"/>
    <mergeCell ref="A4:K4"/>
  </mergeCells>
  <dataValidations count="3">
    <dataValidation type="list" allowBlank="1" sqref="C6 C7 C8 C9 C10 C11 C12 C13 C14 C15 C16 C17 C18 C19 C20 C21 C22 C23 C24 C25 C26 C27 C28 C29 C30 C31 C32 C33 C34 C35" xr:uid="{00000000-0002-0000-0500-000000000000}">
      <formula1>"Extreme heat,Flooding (pluvial/fluvial),Sea level / storm surge,Water stress,Dust / air quality,Other"</formula1>
    </dataValidation>
    <dataValidation type="list" allowBlank="1" sqref="J6 J7 J8 J9 J10 J11 J12 J13 J14 J15 J16 J17 J18 J19 J20 J21 J22 J23 J24 J25 J26 J27 J28 J29 J30 J31 J32 J33 J34 J35" xr:uid="{00000000-0002-0000-0500-000001000000}">
      <formula1>"Low,Med,High"</formula1>
    </dataValidation>
    <dataValidation type="whole" allowBlank="1" sqref="D6 D7 D8 D9 D10 D11 D12 D13 D14 D15 D16 D17 D18 D19 D20 D21 D22 D23 D24 D25 D26 D27 D28 D29 D30 D31 D32 D33 D34 D35 E6 E7 E8 E9 E10 E11 E12 E13 E14 E15 E16 E17 E18 E19 E20 E21 E22 E23 E24 E25 E26 E27 E28 E29 E30 E31 E32 E33 E34 E35 F6 F7 F8 F9 F10 F11 F12 F13 F14 F15 F16 F17 F18 F19 F20 F21 F22 F23 F24 F25 F26 F27 F28 F29 F30 F31 F32 F33 F34 F35" xr:uid="{00000000-0002-0000-0500-000002000000}">
      <formula1>1</formula1>
      <formula2>5</formula2>
    </dataValidation>
  </dataValidation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7"/>
  <sheetViews>
    <sheetView showGridLines="0" topLeftCell="A6" workbookViewId="0">
      <selection activeCell="A11" sqref="A11:G17"/>
    </sheetView>
  </sheetViews>
  <sheetFormatPr defaultColWidth="8.90625" defaultRowHeight="14.5" x14ac:dyDescent="0.35"/>
  <cols>
    <col min="1" max="1" width="2" style="20" customWidth="1"/>
    <col min="2" max="2" width="34" style="20" customWidth="1"/>
    <col min="3" max="3" width="28.08984375" style="20" customWidth="1"/>
    <col min="4" max="6" width="22" style="20" customWidth="1"/>
    <col min="7" max="7" width="46" style="20" customWidth="1"/>
    <col min="8" max="10" width="22" style="20" customWidth="1"/>
    <col min="11" max="11" width="10" style="20" customWidth="1"/>
    <col min="12" max="16384" width="8.90625" style="20"/>
  </cols>
  <sheetData>
    <row r="1" spans="1:11" x14ac:dyDescent="0.35">
      <c r="A1" s="45" t="s">
        <v>187</v>
      </c>
      <c r="B1" s="44"/>
      <c r="C1" s="44"/>
      <c r="D1" s="44"/>
      <c r="E1" s="44"/>
      <c r="F1" s="44"/>
      <c r="G1" s="44"/>
      <c r="H1" s="44"/>
      <c r="I1" s="44"/>
      <c r="J1" s="44"/>
      <c r="K1" s="44"/>
    </row>
    <row r="2" spans="1:11" x14ac:dyDescent="0.35">
      <c r="A2" s="43" t="s">
        <v>188</v>
      </c>
      <c r="B2" s="44"/>
      <c r="C2" s="44"/>
      <c r="D2" s="44"/>
      <c r="E2" s="44"/>
      <c r="F2" s="44"/>
      <c r="G2" s="44"/>
      <c r="H2" s="44"/>
      <c r="I2" s="44"/>
      <c r="J2" s="44"/>
      <c r="K2" s="44"/>
    </row>
    <row r="4" spans="1:11" x14ac:dyDescent="0.35">
      <c r="A4" s="46" t="s">
        <v>323</v>
      </c>
      <c r="B4" s="44"/>
      <c r="C4" s="44"/>
      <c r="D4" s="44"/>
      <c r="E4" s="44"/>
      <c r="F4" s="44"/>
      <c r="G4" s="44"/>
      <c r="H4" s="44"/>
      <c r="I4" s="44"/>
      <c r="J4" s="44"/>
      <c r="K4" s="44"/>
    </row>
    <row r="5" spans="1:11" x14ac:dyDescent="0.35">
      <c r="B5" s="21" t="s">
        <v>189</v>
      </c>
      <c r="C5" s="21" t="s">
        <v>190</v>
      </c>
      <c r="D5" s="30">
        <v>4500000</v>
      </c>
    </row>
    <row r="6" spans="1:11" x14ac:dyDescent="0.35">
      <c r="B6" s="21" t="s">
        <v>191</v>
      </c>
      <c r="C6" s="21" t="s">
        <v>192</v>
      </c>
      <c r="D6" s="30">
        <v>250000</v>
      </c>
    </row>
    <row r="7" spans="1:11" x14ac:dyDescent="0.35">
      <c r="B7" s="21" t="s">
        <v>193</v>
      </c>
      <c r="C7" s="21" t="s">
        <v>194</v>
      </c>
      <c r="D7" s="30">
        <v>670</v>
      </c>
    </row>
    <row r="8" spans="1:11" x14ac:dyDescent="0.35">
      <c r="B8" s="21" t="s">
        <v>195</v>
      </c>
      <c r="C8" s="21" t="s">
        <v>194</v>
      </c>
      <c r="D8" s="30">
        <v>2025</v>
      </c>
    </row>
    <row r="9" spans="1:11" x14ac:dyDescent="0.35">
      <c r="B9" s="21" t="s">
        <v>196</v>
      </c>
      <c r="C9" s="21" t="s">
        <v>194</v>
      </c>
      <c r="D9" s="31">
        <f>IF(N(D7)+N(D8)&gt;0,N(D7)+N(D8),0)</f>
        <v>2695</v>
      </c>
    </row>
    <row r="11" spans="1:11" x14ac:dyDescent="0.35">
      <c r="A11" s="46" t="s">
        <v>197</v>
      </c>
      <c r="B11" s="46"/>
      <c r="C11" s="46"/>
      <c r="D11" s="46"/>
      <c r="E11" s="46"/>
      <c r="F11" s="46"/>
      <c r="G11" s="46"/>
    </row>
    <row r="12" spans="1:11" x14ac:dyDescent="0.35">
      <c r="B12" s="23" t="s">
        <v>198</v>
      </c>
      <c r="C12" s="23" t="s">
        <v>199</v>
      </c>
      <c r="D12" s="23" t="s">
        <v>165</v>
      </c>
      <c r="E12" s="23" t="s">
        <v>200</v>
      </c>
      <c r="F12" s="23" t="s">
        <v>201</v>
      </c>
      <c r="G12" s="23" t="s">
        <v>202</v>
      </c>
    </row>
    <row r="13" spans="1:11" ht="43.5" x14ac:dyDescent="0.35">
      <c r="B13" s="32" t="s">
        <v>203</v>
      </c>
      <c r="C13" s="32" t="s">
        <v>204</v>
      </c>
      <c r="D13" s="28">
        <v>3</v>
      </c>
      <c r="E13" s="28">
        <v>2</v>
      </c>
      <c r="F13" s="25">
        <f>IF(OR(D13="",E13=""),"",MAX(0,MIN(5,N(D13)-(N(E13)-1))))</f>
        <v>2</v>
      </c>
      <c r="G13" s="22" t="s">
        <v>205</v>
      </c>
    </row>
    <row r="14" spans="1:11" ht="43.5" x14ac:dyDescent="0.35">
      <c r="B14" s="32" t="s">
        <v>206</v>
      </c>
      <c r="C14" s="32" t="s">
        <v>207</v>
      </c>
      <c r="D14" s="28">
        <v>3</v>
      </c>
      <c r="E14" s="28">
        <v>3</v>
      </c>
      <c r="F14" s="25">
        <f>IF(OR(D14="",E14=""),"",MAX(0,MIN(5,N(D14)-(N(E14)-1))))</f>
        <v>1</v>
      </c>
      <c r="G14" s="22" t="s">
        <v>208</v>
      </c>
    </row>
    <row r="15" spans="1:11" ht="29" x14ac:dyDescent="0.35">
      <c r="B15" s="32" t="s">
        <v>209</v>
      </c>
      <c r="C15" s="32" t="s">
        <v>210</v>
      </c>
      <c r="D15" s="28">
        <v>2</v>
      </c>
      <c r="E15" s="28">
        <v>3</v>
      </c>
      <c r="F15" s="25">
        <f>IF(OR(D15="",E15=""),"",MAX(0,MIN(5,N(D15)-(N(E15)-1))))</f>
        <v>0</v>
      </c>
      <c r="G15" s="22" t="s">
        <v>211</v>
      </c>
    </row>
    <row r="16" spans="1:11" ht="43.5" x14ac:dyDescent="0.35">
      <c r="B16" s="32" t="s">
        <v>212</v>
      </c>
      <c r="C16" s="32" t="s">
        <v>213</v>
      </c>
      <c r="D16" s="28">
        <v>2</v>
      </c>
      <c r="E16" s="28">
        <v>2</v>
      </c>
      <c r="F16" s="25">
        <f>IF(OR(D16="",E16=""),"",MAX(0,MIN(5,N(D16)-(N(E16)-1))))</f>
        <v>1</v>
      </c>
      <c r="G16" s="22" t="s">
        <v>214</v>
      </c>
    </row>
    <row r="17" spans="2:7" ht="43.5" x14ac:dyDescent="0.35">
      <c r="B17" s="32" t="s">
        <v>215</v>
      </c>
      <c r="C17" s="32" t="s">
        <v>216</v>
      </c>
      <c r="D17" s="28">
        <v>4</v>
      </c>
      <c r="E17" s="28">
        <v>2</v>
      </c>
      <c r="F17" s="25">
        <f>IF(OR(D17="",E17=""),"",MAX(0,MIN(5,N(D17)-(N(E17)-1))))</f>
        <v>3</v>
      </c>
      <c r="G17" s="22" t="s">
        <v>217</v>
      </c>
    </row>
  </sheetData>
  <mergeCells count="4">
    <mergeCell ref="A2:K2"/>
    <mergeCell ref="A1:K1"/>
    <mergeCell ref="A4:K4"/>
    <mergeCell ref="A11:G11"/>
  </mergeCells>
  <dataValidations count="1">
    <dataValidation type="whole" allowBlank="1" sqref="D13 D14 D15 D16 D17 E13 E14 E15 E16 E17" xr:uid="{00000000-0002-0000-0600-000000000000}">
      <formula1>1</formula1>
      <formula2>5</formula2>
    </dataValidation>
  </dataValidation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5"/>
  <sheetViews>
    <sheetView showGridLines="0" topLeftCell="A8" workbookViewId="0">
      <selection activeCell="C16" sqref="C16"/>
    </sheetView>
  </sheetViews>
  <sheetFormatPr defaultColWidth="8.90625" defaultRowHeight="14.5" x14ac:dyDescent="0.35"/>
  <cols>
    <col min="1" max="1" width="2" style="20" customWidth="1"/>
    <col min="2" max="2" width="40" style="20" customWidth="1"/>
    <col min="3" max="3" width="20" style="20" customWidth="1"/>
    <col min="4" max="4" width="22.81640625" style="20" customWidth="1"/>
    <col min="5" max="6" width="20" style="20" customWidth="1"/>
    <col min="7" max="7" width="22" style="20" customWidth="1"/>
    <col min="8" max="10" width="18" style="20" customWidth="1"/>
    <col min="11" max="11" width="10" style="20" customWidth="1"/>
    <col min="12" max="16384" width="8.90625" style="20"/>
  </cols>
  <sheetData>
    <row r="1" spans="1:11" x14ac:dyDescent="0.35">
      <c r="A1" s="45" t="s">
        <v>218</v>
      </c>
      <c r="B1" s="44"/>
      <c r="C1" s="44"/>
      <c r="D1" s="44"/>
      <c r="E1" s="44"/>
      <c r="F1" s="44"/>
      <c r="G1" s="44"/>
      <c r="H1" s="44"/>
      <c r="I1" s="44"/>
      <c r="J1" s="44"/>
      <c r="K1" s="44"/>
    </row>
    <row r="2" spans="1:11" x14ac:dyDescent="0.35">
      <c r="A2" s="43" t="s">
        <v>219</v>
      </c>
      <c r="B2" s="44"/>
      <c r="C2" s="44"/>
      <c r="D2" s="44"/>
      <c r="E2" s="44"/>
      <c r="F2" s="44"/>
      <c r="G2" s="44"/>
      <c r="H2" s="44"/>
      <c r="I2" s="44"/>
      <c r="J2" s="44"/>
      <c r="K2" s="44"/>
    </row>
    <row r="4" spans="1:11" x14ac:dyDescent="0.35">
      <c r="A4" s="46" t="s">
        <v>220</v>
      </c>
      <c r="B4" s="46"/>
      <c r="C4" s="46"/>
      <c r="D4" s="46"/>
      <c r="E4" s="46"/>
      <c r="F4" s="46"/>
    </row>
    <row r="5" spans="1:11" ht="29" x14ac:dyDescent="0.35">
      <c r="B5" s="37" t="s">
        <v>221</v>
      </c>
      <c r="C5" s="38" t="s">
        <v>222</v>
      </c>
      <c r="D5" s="38" t="s">
        <v>223</v>
      </c>
      <c r="E5" s="38" t="s">
        <v>224</v>
      </c>
      <c r="H5" s="36" t="s">
        <v>225</v>
      </c>
    </row>
    <row r="6" spans="1:11" ht="29" x14ac:dyDescent="0.35">
      <c r="B6" s="39" t="s">
        <v>86</v>
      </c>
      <c r="C6" s="40">
        <f>IF(Scenario_Assumptions!$C$7="FY0 Baseline",Baseline_Financials!F8,IF(Scenario_Assumptions!$C$7="FY+1",Baseline_Financials!G8,IF(Scenario_Assumptions!$C$7="FY+2",Baseline_Financials!H8,Baseline_Financials!I8)))</f>
        <v>48000000</v>
      </c>
      <c r="D6" s="39" t="s">
        <v>135</v>
      </c>
      <c r="E6" s="40">
        <f>N(C6)*(1+N(Scenario_Assumptions!$F$16)/100)</f>
        <v>47520000</v>
      </c>
      <c r="H6" s="33">
        <f>IF(Scenario_Assumptions!$C$7="FY0 Baseline",0,0)</f>
        <v>0</v>
      </c>
    </row>
    <row r="7" spans="1:11" x14ac:dyDescent="0.35">
      <c r="B7" s="39" t="s">
        <v>226</v>
      </c>
      <c r="C7" s="40">
        <f>IF(Scenario_Assumptions!$C$7="FY0 Baseline",Baseline_Financials!F9,IF(Scenario_Assumptions!$C$7="FY+1",Baseline_Financials!G9,IF(Scenario_Assumptions!$C$7="FY+2",Baseline_Financials!H9,Baseline_Financials!I9)))</f>
        <v>28400000</v>
      </c>
      <c r="D7" s="39" t="s">
        <v>133</v>
      </c>
      <c r="E7" s="40">
        <f>N(C7)*(1+N(Scenario_Assumptions!$F$14)/100)</f>
        <v>31808000.000000004</v>
      </c>
    </row>
    <row r="8" spans="1:11" x14ac:dyDescent="0.35">
      <c r="B8" s="39" t="s">
        <v>227</v>
      </c>
      <c r="C8" s="40">
        <f>IF(Scenario_Assumptions!$C$7="FY0 Baseline",Baseline_Financials!F11,IF(Scenario_Assumptions!$C$7="FY+1",Baseline_Financials!G11,IF(Scenario_Assumptions!$C$7="FY+2",Baseline_Financials!H11,Baseline_Financials!I11)))</f>
        <v>11400000</v>
      </c>
      <c r="D8" s="39" t="s">
        <v>131</v>
      </c>
      <c r="E8" s="40">
        <f>N(C8)*(1+N(Scenario_Assumptions!$F$13)/100)</f>
        <v>13041599.999999998</v>
      </c>
    </row>
    <row r="9" spans="1:11" ht="29" x14ac:dyDescent="0.35">
      <c r="B9" s="39" t="s">
        <v>93</v>
      </c>
      <c r="C9" s="40">
        <f>IF(Scenario_Assumptions!$C$7="FY0 Baseline",Baseline_Financials!F15,IF(Scenario_Assumptions!$C$7="FY+1",Baseline_Financials!G15,IF(Scenario_Assumptions!$C$7="FY+2",Baseline_Financials!H15,Baseline_Financials!I15)))</f>
        <v>980000</v>
      </c>
      <c r="D9" s="39" t="s">
        <v>134</v>
      </c>
      <c r="E9" s="40">
        <f>N(C9)*(1+N(Scenario_Assumptions!$F$15)/100)</f>
        <v>1127000</v>
      </c>
    </row>
    <row r="10" spans="1:11" ht="29" x14ac:dyDescent="0.35">
      <c r="B10" s="39" t="s">
        <v>228</v>
      </c>
      <c r="C10" s="41">
        <v>0</v>
      </c>
      <c r="D10" s="39" t="s">
        <v>229</v>
      </c>
      <c r="E10" s="42">
        <f>N(Exposure_Transition!$D$9)*N(Scenario_Assumptions!$F$12)</f>
        <v>525525</v>
      </c>
    </row>
    <row r="11" spans="1:11" ht="29" x14ac:dyDescent="0.35">
      <c r="B11" s="39" t="s">
        <v>230</v>
      </c>
      <c r="C11" s="41">
        <v>0</v>
      </c>
      <c r="D11" s="39" t="s">
        <v>231</v>
      </c>
      <c r="E11" s="42">
        <f>IFERROR(N(E6)/365*SUM(Exposure_Physical!$H$6:$H$35),0)</f>
        <v>1041534.2465753425</v>
      </c>
    </row>
    <row r="12" spans="1:11" ht="29" x14ac:dyDescent="0.35">
      <c r="B12" s="39" t="s">
        <v>232</v>
      </c>
      <c r="C12" s="41">
        <v>0</v>
      </c>
      <c r="D12" s="39" t="s">
        <v>233</v>
      </c>
      <c r="E12" s="42">
        <f>SUM(Exposure_Physical!$I$6:$I$35)</f>
        <v>320000</v>
      </c>
    </row>
    <row r="14" spans="1:11" x14ac:dyDescent="0.35">
      <c r="A14" s="46" t="s">
        <v>234</v>
      </c>
      <c r="B14" s="46"/>
      <c r="C14" s="46"/>
      <c r="D14" s="46"/>
      <c r="E14" s="46"/>
      <c r="F14" s="46"/>
    </row>
    <row r="15" spans="1:11" x14ac:dyDescent="0.35">
      <c r="B15" s="23" t="s">
        <v>221</v>
      </c>
      <c r="C15" s="23" t="s">
        <v>222</v>
      </c>
      <c r="D15" s="23" t="s">
        <v>224</v>
      </c>
      <c r="E15" s="23" t="s">
        <v>235</v>
      </c>
      <c r="F15" s="23" t="s">
        <v>236</v>
      </c>
    </row>
    <row r="16" spans="1:11" x14ac:dyDescent="0.35">
      <c r="B16" s="21" t="s">
        <v>86</v>
      </c>
      <c r="C16" s="34">
        <f>C6</f>
        <v>48000000</v>
      </c>
      <c r="D16" s="34">
        <f>E6</f>
        <v>47520000</v>
      </c>
      <c r="E16" s="34">
        <f t="shared" ref="E16:E25" si="0">N(D16)-N(C16)</f>
        <v>-480000</v>
      </c>
      <c r="F16" s="35">
        <f t="shared" ref="F16:F25" si="1">IFERROR(N(E16)/N(C16),0)</f>
        <v>-0.01</v>
      </c>
    </row>
    <row r="17" spans="2:6" x14ac:dyDescent="0.35">
      <c r="B17" s="21" t="s">
        <v>226</v>
      </c>
      <c r="C17" s="34">
        <f>C7</f>
        <v>28400000</v>
      </c>
      <c r="D17" s="34">
        <f>E7</f>
        <v>31808000.000000004</v>
      </c>
      <c r="E17" s="34">
        <f t="shared" si="0"/>
        <v>3408000.0000000037</v>
      </c>
      <c r="F17" s="35">
        <f t="shared" si="1"/>
        <v>0.12000000000000013</v>
      </c>
    </row>
    <row r="18" spans="2:6" x14ac:dyDescent="0.35">
      <c r="B18" s="21" t="s">
        <v>88</v>
      </c>
      <c r="C18" s="34">
        <f>(N(C6)-N(C7))</f>
        <v>19600000</v>
      </c>
      <c r="D18" s="34">
        <f>(N(E6)-N(E7))</f>
        <v>15711999.999999996</v>
      </c>
      <c r="E18" s="34">
        <f t="shared" si="0"/>
        <v>-3888000.0000000037</v>
      </c>
      <c r="F18" s="35">
        <f t="shared" si="1"/>
        <v>-0.1983673469387757</v>
      </c>
    </row>
    <row r="19" spans="2:6" x14ac:dyDescent="0.35">
      <c r="B19" s="21" t="s">
        <v>227</v>
      </c>
      <c r="C19" s="34">
        <f>C8</f>
        <v>11400000</v>
      </c>
      <c r="D19" s="34">
        <f>E8</f>
        <v>13041599.999999998</v>
      </c>
      <c r="E19" s="34">
        <f t="shared" si="0"/>
        <v>1641599.9999999981</v>
      </c>
      <c r="F19" s="35">
        <f t="shared" si="1"/>
        <v>0.14399999999999985</v>
      </c>
    </row>
    <row r="20" spans="2:6" x14ac:dyDescent="0.35">
      <c r="B20" s="21" t="s">
        <v>90</v>
      </c>
      <c r="C20" s="34">
        <f>(N(C6)-N(C7)-N(C8))</f>
        <v>8200000</v>
      </c>
      <c r="D20" s="34">
        <f>(N(E6)-N(E7)-N(E8))</f>
        <v>2670399.9999999981</v>
      </c>
      <c r="E20" s="34">
        <f t="shared" si="0"/>
        <v>-5529600.0000000019</v>
      </c>
      <c r="F20" s="35">
        <f t="shared" si="1"/>
        <v>-0.67434146341463441</v>
      </c>
    </row>
    <row r="21" spans="2:6" x14ac:dyDescent="0.35">
      <c r="B21" s="21" t="s">
        <v>237</v>
      </c>
      <c r="C21" s="34">
        <f>0</f>
        <v>0</v>
      </c>
      <c r="D21" s="34">
        <f>E10</f>
        <v>525525</v>
      </c>
      <c r="E21" s="34">
        <f t="shared" si="0"/>
        <v>525525</v>
      </c>
      <c r="F21" s="35">
        <f t="shared" si="1"/>
        <v>0</v>
      </c>
    </row>
    <row r="22" spans="2:6" x14ac:dyDescent="0.35">
      <c r="B22" s="21" t="s">
        <v>238</v>
      </c>
      <c r="C22" s="34">
        <f>0</f>
        <v>0</v>
      </c>
      <c r="D22" s="34">
        <f>E11</f>
        <v>1041534.2465753425</v>
      </c>
      <c r="E22" s="34">
        <f t="shared" si="0"/>
        <v>1041534.2465753425</v>
      </c>
      <c r="F22" s="35">
        <f t="shared" si="1"/>
        <v>0</v>
      </c>
    </row>
    <row r="23" spans="2:6" x14ac:dyDescent="0.35">
      <c r="B23" s="21" t="s">
        <v>239</v>
      </c>
      <c r="C23" s="34">
        <f>0</f>
        <v>0</v>
      </c>
      <c r="D23" s="34">
        <f>E12</f>
        <v>320000</v>
      </c>
      <c r="E23" s="34">
        <f t="shared" si="0"/>
        <v>320000</v>
      </c>
      <c r="F23" s="35">
        <f t="shared" si="1"/>
        <v>0</v>
      </c>
    </row>
    <row r="24" spans="2:6" x14ac:dyDescent="0.35">
      <c r="B24" s="21" t="s">
        <v>93</v>
      </c>
      <c r="C24" s="34">
        <f>C9</f>
        <v>980000</v>
      </c>
      <c r="D24" s="34">
        <f>E9</f>
        <v>1127000</v>
      </c>
      <c r="E24" s="34">
        <f t="shared" si="0"/>
        <v>147000</v>
      </c>
      <c r="F24" s="35">
        <f t="shared" si="1"/>
        <v>0.15</v>
      </c>
    </row>
    <row r="25" spans="2:6" x14ac:dyDescent="0.35">
      <c r="B25" s="21" t="s">
        <v>240</v>
      </c>
      <c r="C25" s="34">
        <f>(N(C6)-N(C7)-N(C8)-N(C9))</f>
        <v>7220000</v>
      </c>
      <c r="D25" s="34">
        <f>(N(E6)-N(E7)-N(E8)-N(E9)-N(E10)-N(E11)-N(E12))</f>
        <v>-343659.24657534435</v>
      </c>
      <c r="E25" s="34">
        <f t="shared" si="0"/>
        <v>-7563659.2465753444</v>
      </c>
      <c r="F25" s="35">
        <f t="shared" si="1"/>
        <v>-1.0475982335976932</v>
      </c>
    </row>
  </sheetData>
  <mergeCells count="4">
    <mergeCell ref="A2:K2"/>
    <mergeCell ref="A1:K1"/>
    <mergeCell ref="A14:F14"/>
    <mergeCell ref="A4:F4"/>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8"/>
  <sheetViews>
    <sheetView showGridLines="0" workbookViewId="0">
      <selection activeCell="D8" sqref="D8"/>
    </sheetView>
  </sheetViews>
  <sheetFormatPr defaultRowHeight="14.5" x14ac:dyDescent="0.35"/>
  <cols>
    <col min="1" max="1" width="2" customWidth="1"/>
    <col min="2" max="2" width="32" customWidth="1"/>
    <col min="3" max="5" width="28" customWidth="1"/>
    <col min="6" max="10" width="20" customWidth="1"/>
    <col min="11" max="11" width="10" customWidth="1"/>
  </cols>
  <sheetData>
    <row r="1" spans="1:11" ht="28" customHeight="1" x14ac:dyDescent="0.35">
      <c r="A1" s="47" t="s">
        <v>25</v>
      </c>
      <c r="B1" s="48"/>
      <c r="C1" s="48"/>
      <c r="D1" s="48"/>
      <c r="E1" s="48"/>
      <c r="F1" s="48"/>
      <c r="G1" s="48"/>
      <c r="H1" s="48"/>
      <c r="I1" s="48"/>
      <c r="J1" s="48"/>
      <c r="K1" s="48"/>
    </row>
    <row r="2" spans="1:11" ht="20" customHeight="1" x14ac:dyDescent="0.35">
      <c r="A2" s="49" t="s">
        <v>241</v>
      </c>
      <c r="B2" s="48"/>
      <c r="C2" s="48"/>
      <c r="D2" s="48"/>
      <c r="E2" s="48"/>
      <c r="F2" s="48"/>
      <c r="G2" s="48"/>
      <c r="H2" s="48"/>
      <c r="I2" s="48"/>
      <c r="J2" s="48"/>
      <c r="K2" s="48"/>
    </row>
    <row r="4" spans="1:11" ht="20" customHeight="1" x14ac:dyDescent="0.35">
      <c r="A4" s="50" t="s">
        <v>242</v>
      </c>
      <c r="B4" s="48"/>
      <c r="C4" s="48"/>
      <c r="D4" s="48"/>
      <c r="E4" s="48"/>
      <c r="F4" s="48"/>
      <c r="G4" s="48"/>
      <c r="H4" s="48"/>
      <c r="I4" s="48"/>
      <c r="J4" s="48"/>
      <c r="K4" s="48"/>
    </row>
    <row r="5" spans="1:11" x14ac:dyDescent="0.35">
      <c r="B5" s="2" t="s">
        <v>145</v>
      </c>
      <c r="C5" s="16" t="str">
        <f>Scenario_Assumptions!C5</f>
        <v>Disorderly Transition</v>
      </c>
    </row>
    <row r="6" spans="1:11" x14ac:dyDescent="0.35">
      <c r="B6" s="2" t="s">
        <v>146</v>
      </c>
      <c r="C6" s="16" t="str">
        <f>Scenario_Assumptions!C6</f>
        <v>Medium (4–10y)</v>
      </c>
    </row>
    <row r="7" spans="1:11" x14ac:dyDescent="0.35">
      <c r="B7" s="2" t="s">
        <v>243</v>
      </c>
      <c r="C7" s="16" t="str">
        <f>Scenario_Assumptions!C7</f>
        <v>FY+2</v>
      </c>
    </row>
    <row r="8" spans="1:11" x14ac:dyDescent="0.35">
      <c r="B8" s="2" t="s">
        <v>244</v>
      </c>
      <c r="C8" s="17">
        <f>Impact_Model!C6</f>
        <v>48000000</v>
      </c>
    </row>
    <row r="9" spans="1:11" x14ac:dyDescent="0.35">
      <c r="B9" s="2" t="s">
        <v>245</v>
      </c>
      <c r="C9" s="17">
        <f>Impact_Model!E6</f>
        <v>47520000</v>
      </c>
    </row>
    <row r="10" spans="1:11" x14ac:dyDescent="0.35">
      <c r="B10" s="2" t="s">
        <v>246</v>
      </c>
      <c r="C10" s="17">
        <f>N(Impact_Model!C6)-N(Impact_Model!C7)-N(Impact_Model!C8)</f>
        <v>8200000</v>
      </c>
    </row>
    <row r="11" spans="1:11" x14ac:dyDescent="0.35">
      <c r="B11" s="2" t="s">
        <v>247</v>
      </c>
      <c r="C11" s="17">
        <f>N(Impact_Model!E6)-N(Impact_Model!E7)-N(Impact_Model!E8)</f>
        <v>2670399.9999999981</v>
      </c>
    </row>
    <row r="12" spans="1:11" x14ac:dyDescent="0.35">
      <c r="B12" s="2" t="s">
        <v>248</v>
      </c>
      <c r="C12" s="17">
        <f>N(Impact_Model!C6)-N(Impact_Model!C7)-N(Impact_Model!C8)-N(Impact_Model!C9)</f>
        <v>7220000</v>
      </c>
    </row>
    <row r="13" spans="1:11" x14ac:dyDescent="0.35">
      <c r="B13" s="2" t="s">
        <v>249</v>
      </c>
      <c r="C13" s="17">
        <f>N(Impact_Model!E6)-N(Impact_Model!E7)-N(Impact_Model!E8)-N(Impact_Model!E9)-N(Impact_Model!E10)-N(Impact_Model!E11)-N(Impact_Model!E12)</f>
        <v>-343659.24657534435</v>
      </c>
    </row>
    <row r="14" spans="1:11" x14ac:dyDescent="0.35">
      <c r="B14" s="1" t="s">
        <v>250</v>
      </c>
    </row>
    <row r="15" spans="1:11" x14ac:dyDescent="0.35">
      <c r="B15" s="6" t="s">
        <v>251</v>
      </c>
      <c r="C15" s="6" t="s">
        <v>222</v>
      </c>
      <c r="D15" s="6" t="s">
        <v>224</v>
      </c>
    </row>
    <row r="16" spans="1:11" x14ac:dyDescent="0.35">
      <c r="B16" s="3" t="s">
        <v>86</v>
      </c>
      <c r="C16" s="14">
        <f>Impact_Model!C6</f>
        <v>48000000</v>
      </c>
      <c r="D16" s="14">
        <f>Impact_Model!E6</f>
        <v>47520000</v>
      </c>
    </row>
    <row r="17" spans="2:4" x14ac:dyDescent="0.35">
      <c r="B17" s="3" t="s">
        <v>252</v>
      </c>
      <c r="C17" s="14">
        <f>N(Impact_Model!C6)-N(Impact_Model!C7)-N(Impact_Model!C8)</f>
        <v>8200000</v>
      </c>
      <c r="D17" s="14">
        <f>N(Impact_Model!E6)-N(Impact_Model!E7)-N(Impact_Model!E8)</f>
        <v>2670399.9999999981</v>
      </c>
    </row>
    <row r="18" spans="2:4" x14ac:dyDescent="0.35">
      <c r="B18" s="3" t="s">
        <v>253</v>
      </c>
      <c r="C18" s="14">
        <f>N(Impact_Model!C6)-N(Impact_Model!C7)-N(Impact_Model!C8)-N(Impact_Model!C9)</f>
        <v>7220000</v>
      </c>
      <c r="D18" s="14">
        <f>N(Impact_Model!E6)-N(Impact_Model!E7)-N(Impact_Model!E8)-N(Impact_Model!E9)-N(Impact_Model!E10)-N(Impact_Model!E11)-N(Impact_Model!E12)</f>
        <v>-343659.24657534435</v>
      </c>
    </row>
  </sheetData>
  <mergeCells count="3">
    <mergeCell ref="A2:K2"/>
    <mergeCell ref="A1:K1"/>
    <mergeCell ref="A4:K4"/>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README</vt:lpstr>
      <vt:lpstr>Company_Profile</vt:lpstr>
      <vt:lpstr>Baseline_Financials</vt:lpstr>
      <vt:lpstr>Scenario_Library</vt:lpstr>
      <vt:lpstr>Scenario_Assumptions</vt:lpstr>
      <vt:lpstr>Exposure_Physical</vt:lpstr>
      <vt:lpstr>Exposure_Transition</vt:lpstr>
      <vt:lpstr>Impact_Model</vt:lpstr>
      <vt:lpstr>Dashboard</vt:lpstr>
      <vt:lpstr>Bank_Report</vt:lpstr>
      <vt:lpstr>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Umar Farooq</cp:lastModifiedBy>
  <dcterms:created xsi:type="dcterms:W3CDTF">2026-03-01T09:02:32Z</dcterms:created>
  <dcterms:modified xsi:type="dcterms:W3CDTF">2026-03-05T15:20:19Z</dcterms:modified>
</cp:coreProperties>
</file>